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540" tabRatio="500" activeTab="0"/>
  </bookViews>
  <sheets>
    <sheet name="DCF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Edward Stephen</author>
    <author>Mark Wright</author>
  </authors>
  <commentList>
    <comment ref="B9" authorId="0">
      <text>
        <r>
          <rPr>
            <sz val="9"/>
            <color indexed="8"/>
            <rFont val="Tahoma"/>
            <family val="2"/>
          </rPr>
          <t xml:space="preserve">The long term, steady state growth of the company
</t>
        </r>
      </text>
    </comment>
    <comment ref="B8" authorId="1">
      <text>
        <r>
          <rPr>
            <sz val="9"/>
            <color indexed="8"/>
            <rFont val="Tahoma"/>
            <family val="2"/>
          </rPr>
          <t xml:space="preserve">This input drives +/- sensitvity analysis below
</t>
        </r>
      </text>
    </comment>
    <comment ref="B10" authorId="1">
      <text>
        <r>
          <rPr>
            <sz val="9"/>
            <color indexed="8"/>
            <rFont val="Tahoma"/>
            <family val="2"/>
          </rPr>
          <t xml:space="preserve">This input drives +/- sensitvity analysis below
</t>
        </r>
      </text>
    </comment>
    <comment ref="B7" authorId="1">
      <text>
        <r>
          <rPr>
            <sz val="9"/>
            <color indexed="8"/>
            <rFont val="Tahoma"/>
            <family val="2"/>
          </rPr>
          <t xml:space="preserve">The weighted average cost of capital to that specific business.
</t>
        </r>
      </text>
    </comment>
  </commentList>
</comments>
</file>

<file path=xl/sharedStrings.xml><?xml version="1.0" encoding="utf-8"?>
<sst xmlns="http://schemas.openxmlformats.org/spreadsheetml/2006/main" count="52" uniqueCount="43">
  <si>
    <t>Discount Rate</t>
  </si>
  <si>
    <t>Net Revenue</t>
  </si>
  <si>
    <t>Discount Period</t>
  </si>
  <si>
    <t>% growth</t>
  </si>
  <si>
    <t>% of sales</t>
  </si>
  <si>
    <t>--</t>
  </si>
  <si>
    <t>Tax Rate</t>
  </si>
  <si>
    <t>Cumulative Discounted FCF over Projection Period</t>
  </si>
  <si>
    <t>Terminal Value Calculation</t>
  </si>
  <si>
    <t>Terminal Year FCF</t>
  </si>
  <si>
    <t>Terminal Value ("TV")</t>
  </si>
  <si>
    <t>Present Value of TV</t>
  </si>
  <si>
    <t>Terminal Year Discount Period</t>
  </si>
  <si>
    <t>Discounted Cash Flow Summary</t>
  </si>
  <si>
    <t>Perpetual Growth Rate</t>
  </si>
  <si>
    <t>FCF over Projection Period</t>
  </si>
  <si>
    <t>Terminus</t>
  </si>
  <si>
    <t>% Value in Projection Period</t>
  </si>
  <si>
    <t>% Value in Terminus</t>
  </si>
  <si>
    <t>Implied Valuation Multiples</t>
  </si>
  <si>
    <t>Projection Period Calculation</t>
  </si>
  <si>
    <t>Operating Summary</t>
  </si>
  <si>
    <t>Discounted FCF, Assuming Discount Rates as Shown</t>
  </si>
  <si>
    <t>Inputs</t>
  </si>
  <si>
    <t>Company Value</t>
  </si>
  <si>
    <t>Implied Terminal EBITDA Multiple</t>
  </si>
  <si>
    <t>Company Value Calculation</t>
  </si>
  <si>
    <t>Company Value Attribution</t>
  </si>
  <si>
    <t>Perpetual Growth Rate Change</t>
  </si>
  <si>
    <t>Discount Rate Change</t>
  </si>
  <si>
    <t xml:space="preserve">Free Cash Flow </t>
  </si>
  <si>
    <t>12-Month Period Ending</t>
  </si>
  <si>
    <t>Price Per Share</t>
  </si>
  <si>
    <t>Created by CUBE</t>
  </si>
  <si>
    <t>Base Case Upside</t>
  </si>
  <si>
    <t>Shares Outstanding (Millions)</t>
  </si>
  <si>
    <t>Fiscal Year End Date</t>
  </si>
  <si>
    <t>$ million, unless otherwise noted</t>
  </si>
  <si>
    <t>Bull Case Upside</t>
  </si>
  <si>
    <t>Bear Case Downside</t>
  </si>
  <si>
    <t>APPH Simplified Discounted Cash Flow Analysis</t>
  </si>
  <si>
    <t>N/A</t>
  </si>
  <si>
    <t>Current Price (3/1/21)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</si>
</sst>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_);\(0.0%\)"/>
    <numFmt numFmtId="166" formatCode="0.0\x_);\(0.0\x\)"/>
    <numFmt numFmtId="167" formatCode="_(&quot;$&quot;* #,##0_);_(&quot;$&quot;* \(#,##0\);_(&quot;$&quot;* &quot;-&quot;??_);_(@_)"/>
    <numFmt numFmtId="168" formatCode="&quot;$&quot;#,##0.0_);[Red]\(&quot;$&quot;#,##0.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9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Calibri"/>
      <family val="2"/>
    </font>
    <font>
      <sz val="9"/>
      <color indexed="63"/>
      <name val="Calibri"/>
      <family val="2"/>
    </font>
    <font>
      <sz val="13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i/>
      <sz val="12"/>
      <color indexed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i/>
      <u val="singleAccounting"/>
      <sz val="12"/>
      <color indexed="8"/>
      <name val="Arial"/>
      <family val="2"/>
    </font>
    <font>
      <i/>
      <sz val="12"/>
      <color indexed="12"/>
      <name val="Arial"/>
      <family val="2"/>
    </font>
    <font>
      <sz val="12"/>
      <color indexed="17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63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badi MT Condensed Extra Bold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9"/>
      <color indexed="8"/>
      <name val="Tahoma"/>
      <family val="2"/>
    </font>
    <font>
      <sz val="16"/>
      <color indexed="23"/>
      <name val="Arial"/>
      <family val="2"/>
    </font>
    <font>
      <sz val="8.25"/>
      <color indexed="63"/>
      <name val="Calibri"/>
      <family val="2"/>
    </font>
    <font>
      <sz val="11.95"/>
      <color indexed="63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1"/>
    </font>
    <font>
      <sz val="8.25"/>
      <color indexed="8"/>
      <name val="Calibri"/>
      <family val="2"/>
    </font>
    <font>
      <sz val="12.85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rgb="FF0000F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FF"/>
      <name val="Arial"/>
      <family val="2"/>
    </font>
    <font>
      <i/>
      <u val="singleAccounting"/>
      <sz val="12"/>
      <color theme="1"/>
      <name val="Arial"/>
      <family val="2"/>
    </font>
    <font>
      <i/>
      <sz val="12"/>
      <color rgb="FF0000FF"/>
      <name val="Arial"/>
      <family val="2"/>
    </font>
    <font>
      <sz val="12"/>
      <color rgb="FF00800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color rgb="FF222222"/>
      <name val="Arial"/>
      <family val="2"/>
    </font>
    <font>
      <b/>
      <sz val="20"/>
      <color rgb="FF222222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222222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badi MT Condensed Extra Bold"/>
      <family val="2"/>
    </font>
    <font>
      <b/>
      <sz val="14"/>
      <color theme="0"/>
      <name val="Arial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Dashed">
        <color rgb="FF92D050"/>
      </left>
      <right/>
      <top style="mediumDashed">
        <color rgb="FF92D050"/>
      </top>
      <bottom style="mediumDashed">
        <color rgb="FF92D050"/>
      </bottom>
    </border>
    <border>
      <left/>
      <right/>
      <top style="mediumDashed">
        <color rgb="FF92D050"/>
      </top>
      <bottom style="mediumDashed">
        <color rgb="FF92D050"/>
      </bottom>
    </border>
    <border>
      <left/>
      <right style="mediumDashed">
        <color rgb="FF92D050"/>
      </right>
      <top style="mediumDashed">
        <color rgb="FF92D050"/>
      </top>
      <bottom style="mediumDashed">
        <color rgb="FF92D050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74" fillId="0" borderId="0" xfId="0" applyFont="1" applyAlignment="1">
      <alignment/>
    </xf>
    <xf numFmtId="165" fontId="75" fillId="0" borderId="0" xfId="0" applyNumberFormat="1" applyFont="1" applyAlignment="1" quotePrefix="1">
      <alignment horizontal="right"/>
    </xf>
    <xf numFmtId="165" fontId="74" fillId="0" borderId="0" xfId="0" applyNumberFormat="1" applyFont="1" applyAlignment="1">
      <alignment horizontal="right"/>
    </xf>
    <xf numFmtId="0" fontId="74" fillId="0" borderId="0" xfId="0" applyFont="1" applyBorder="1" applyAlignment="1">
      <alignment/>
    </xf>
    <xf numFmtId="165" fontId="74" fillId="0" borderId="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4" borderId="0" xfId="0" applyFont="1" applyFill="1" applyAlignment="1">
      <alignment/>
    </xf>
    <xf numFmtId="14" fontId="80" fillId="0" borderId="0" xfId="0" applyNumberFormat="1" applyFont="1" applyAlignment="1">
      <alignment/>
    </xf>
    <xf numFmtId="14" fontId="77" fillId="0" borderId="0" xfId="0" applyNumberFormat="1" applyFont="1" applyAlignment="1">
      <alignment/>
    </xf>
    <xf numFmtId="10" fontId="80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0" fontId="81" fillId="0" borderId="0" xfId="0" applyFont="1" applyAlignment="1">
      <alignment horizontal="centerContinuous"/>
    </xf>
    <xf numFmtId="0" fontId="78" fillId="0" borderId="0" xfId="0" applyFont="1" applyBorder="1" applyAlignment="1">
      <alignment horizontal="left" indent="1"/>
    </xf>
    <xf numFmtId="0" fontId="78" fillId="0" borderId="0" xfId="0" applyFont="1" applyBorder="1" applyAlignment="1">
      <alignment/>
    </xf>
    <xf numFmtId="165" fontId="82" fillId="0" borderId="0" xfId="0" applyNumberFormat="1" applyFont="1" applyBorder="1" applyAlignment="1">
      <alignment horizontal="right"/>
    </xf>
    <xf numFmtId="164" fontId="77" fillId="0" borderId="10" xfId="0" applyNumberFormat="1" applyFont="1" applyBorder="1" applyAlignment="1">
      <alignment horizontal="right"/>
    </xf>
    <xf numFmtId="164" fontId="77" fillId="0" borderId="0" xfId="0" applyNumberFormat="1" applyFont="1" applyBorder="1" applyAlignment="1">
      <alignment horizontal="right"/>
    </xf>
    <xf numFmtId="165" fontId="78" fillId="0" borderId="0" xfId="0" applyNumberFormat="1" applyFont="1" applyBorder="1" applyAlignment="1">
      <alignment horizontal="right"/>
    </xf>
    <xf numFmtId="0" fontId="78" fillId="0" borderId="11" xfId="0" applyFont="1" applyBorder="1" applyAlignment="1">
      <alignment horizontal="left" indent="1"/>
    </xf>
    <xf numFmtId="0" fontId="78" fillId="0" borderId="11" xfId="0" applyFont="1" applyBorder="1" applyAlignment="1">
      <alignment/>
    </xf>
    <xf numFmtId="165" fontId="78" fillId="0" borderId="11" xfId="0" applyNumberFormat="1" applyFont="1" applyBorder="1" applyAlignment="1">
      <alignment horizontal="right"/>
    </xf>
    <xf numFmtId="0" fontId="77" fillId="0" borderId="0" xfId="0" applyFont="1" applyAlignment="1">
      <alignment horizontal="right"/>
    </xf>
    <xf numFmtId="164" fontId="77" fillId="0" borderId="0" xfId="0" applyNumberFormat="1" applyFont="1" applyAlignment="1">
      <alignment horizontal="right"/>
    </xf>
    <xf numFmtId="0" fontId="77" fillId="35" borderId="0" xfId="0" applyFont="1" applyFill="1" applyAlignment="1">
      <alignment/>
    </xf>
    <xf numFmtId="164" fontId="77" fillId="35" borderId="0" xfId="0" applyNumberFormat="1" applyFont="1" applyFill="1" applyAlignment="1">
      <alignment horizontal="right"/>
    </xf>
    <xf numFmtId="164" fontId="77" fillId="0" borderId="0" xfId="0" applyNumberFormat="1" applyFont="1" applyAlignment="1">
      <alignment/>
    </xf>
    <xf numFmtId="10" fontId="77" fillId="0" borderId="12" xfId="0" applyNumberFormat="1" applyFont="1" applyBorder="1" applyAlignment="1">
      <alignment/>
    </xf>
    <xf numFmtId="0" fontId="77" fillId="0" borderId="13" xfId="0" applyFont="1" applyBorder="1" applyAlignment="1">
      <alignment/>
    </xf>
    <xf numFmtId="164" fontId="77" fillId="0" borderId="14" xfId="0" applyNumberFormat="1" applyFont="1" applyBorder="1" applyAlignment="1">
      <alignment/>
    </xf>
    <xf numFmtId="164" fontId="83" fillId="0" borderId="0" xfId="0" applyNumberFormat="1" applyFont="1" applyAlignment="1">
      <alignment/>
    </xf>
    <xf numFmtId="10" fontId="84" fillId="0" borderId="11" xfId="0" applyNumberFormat="1" applyFont="1" applyBorder="1" applyAlignment="1">
      <alignment horizontal="centerContinuous"/>
    </xf>
    <xf numFmtId="0" fontId="84" fillId="0" borderId="11" xfId="0" applyFont="1" applyBorder="1" applyAlignment="1">
      <alignment horizontal="centerContinuous"/>
    </xf>
    <xf numFmtId="10" fontId="83" fillId="0" borderId="0" xfId="0" applyNumberFormat="1" applyFont="1" applyAlignment="1">
      <alignment/>
    </xf>
    <xf numFmtId="164" fontId="77" fillId="0" borderId="15" xfId="0" applyNumberFormat="1" applyFont="1" applyBorder="1" applyAlignment="1">
      <alignment horizontal="right"/>
    </xf>
    <xf numFmtId="164" fontId="77" fillId="0" borderId="16" xfId="0" applyNumberFormat="1" applyFont="1" applyBorder="1" applyAlignment="1">
      <alignment horizontal="right"/>
    </xf>
    <xf numFmtId="164" fontId="77" fillId="0" borderId="17" xfId="0" applyNumberFormat="1" applyFont="1" applyBorder="1" applyAlignment="1">
      <alignment horizontal="right"/>
    </xf>
    <xf numFmtId="164" fontId="77" fillId="0" borderId="18" xfId="0" applyNumberFormat="1" applyFont="1" applyBorder="1" applyAlignment="1">
      <alignment horizontal="right"/>
    </xf>
    <xf numFmtId="164" fontId="77" fillId="0" borderId="19" xfId="0" applyNumberFormat="1" applyFont="1" applyBorder="1" applyAlignment="1">
      <alignment horizontal="right"/>
    </xf>
    <xf numFmtId="164" fontId="77" fillId="0" borderId="20" xfId="0" applyNumberFormat="1" applyFont="1" applyBorder="1" applyAlignment="1">
      <alignment horizontal="right"/>
    </xf>
    <xf numFmtId="164" fontId="77" fillId="0" borderId="21" xfId="0" applyNumberFormat="1" applyFont="1" applyBorder="1" applyAlignment="1">
      <alignment horizontal="right"/>
    </xf>
    <xf numFmtId="166" fontId="77" fillId="0" borderId="0" xfId="0" applyNumberFormat="1" applyFont="1" applyAlignment="1">
      <alignment/>
    </xf>
    <xf numFmtId="166" fontId="77" fillId="33" borderId="0" xfId="0" applyNumberFormat="1" applyFont="1" applyFill="1" applyBorder="1" applyAlignment="1">
      <alignment/>
    </xf>
    <xf numFmtId="10" fontId="81" fillId="0" borderId="0" xfId="0" applyNumberFormat="1" applyFont="1" applyAlignment="1">
      <alignment horizontal="centerContinuous"/>
    </xf>
    <xf numFmtId="164" fontId="77" fillId="0" borderId="0" xfId="0" applyNumberFormat="1" applyFont="1" applyBorder="1" applyAlignment="1">
      <alignment/>
    </xf>
    <xf numFmtId="165" fontId="77" fillId="0" borderId="0" xfId="0" applyNumberFormat="1" applyFont="1" applyAlignment="1">
      <alignment/>
    </xf>
    <xf numFmtId="0" fontId="77" fillId="33" borderId="0" xfId="0" applyFont="1" applyFill="1" applyAlignment="1">
      <alignment/>
    </xf>
    <xf numFmtId="166" fontId="77" fillId="33" borderId="0" xfId="0" applyNumberFormat="1" applyFont="1" applyFill="1" applyAlignment="1">
      <alignment/>
    </xf>
    <xf numFmtId="165" fontId="82" fillId="0" borderId="0" xfId="0" applyNumberFormat="1" applyFont="1" applyBorder="1" applyAlignment="1" quotePrefix="1">
      <alignment horizontal="right"/>
    </xf>
    <xf numFmtId="165" fontId="82" fillId="0" borderId="11" xfId="0" applyNumberFormat="1" applyFont="1" applyBorder="1" applyAlignment="1">
      <alignment horizontal="right"/>
    </xf>
    <xf numFmtId="14" fontId="80" fillId="0" borderId="13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right"/>
    </xf>
    <xf numFmtId="0" fontId="77" fillId="36" borderId="16" xfId="0" applyFont="1" applyFill="1" applyBorder="1" applyAlignment="1">
      <alignment/>
    </xf>
    <xf numFmtId="164" fontId="77" fillId="36" borderId="16" xfId="0" applyNumberFormat="1" applyFont="1" applyFill="1" applyBorder="1" applyAlignment="1">
      <alignment horizontal="right"/>
    </xf>
    <xf numFmtId="0" fontId="78" fillId="0" borderId="20" xfId="0" applyFont="1" applyBorder="1" applyAlignment="1">
      <alignment horizontal="left" indent="1"/>
    </xf>
    <xf numFmtId="0" fontId="85" fillId="0" borderId="0" xfId="0" applyFont="1" applyBorder="1" applyAlignment="1">
      <alignment horizontal="right" vertical="center" textRotation="90" wrapText="1"/>
    </xf>
    <xf numFmtId="0" fontId="78" fillId="33" borderId="20" xfId="0" applyFont="1" applyFill="1" applyBorder="1" applyAlignment="1">
      <alignment horizontal="left" indent="1"/>
    </xf>
    <xf numFmtId="0" fontId="78" fillId="33" borderId="20" xfId="0" applyFont="1" applyFill="1" applyBorder="1" applyAlignment="1">
      <alignment/>
    </xf>
    <xf numFmtId="165" fontId="82" fillId="33" borderId="20" xfId="0" applyNumberFormat="1" applyFont="1" applyFill="1" applyBorder="1" applyAlignment="1" quotePrefix="1">
      <alignment horizontal="right"/>
    </xf>
    <xf numFmtId="0" fontId="79" fillId="34" borderId="0" xfId="0" applyFont="1" applyFill="1" applyBorder="1" applyAlignment="1">
      <alignment/>
    </xf>
    <xf numFmtId="0" fontId="86" fillId="0" borderId="0" xfId="0" applyFont="1" applyAlignment="1">
      <alignment/>
    </xf>
    <xf numFmtId="0" fontId="76" fillId="37" borderId="22" xfId="0" applyFont="1" applyFill="1" applyBorder="1" applyAlignment="1">
      <alignment/>
    </xf>
    <xf numFmtId="0" fontId="76" fillId="37" borderId="23" xfId="0" applyFont="1" applyFill="1" applyBorder="1" applyAlignment="1">
      <alignment/>
    </xf>
    <xf numFmtId="164" fontId="76" fillId="37" borderId="23" xfId="0" applyNumberFormat="1" applyFont="1" applyFill="1" applyBorder="1" applyAlignment="1">
      <alignment/>
    </xf>
    <xf numFmtId="164" fontId="76" fillId="37" borderId="24" xfId="0" applyNumberFormat="1" applyFont="1" applyFill="1" applyBorder="1" applyAlignment="1">
      <alignment/>
    </xf>
    <xf numFmtId="0" fontId="76" fillId="37" borderId="0" xfId="0" applyFont="1" applyFill="1" applyBorder="1" applyAlignment="1">
      <alignment/>
    </xf>
    <xf numFmtId="44" fontId="76" fillId="37" borderId="0" xfId="44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6" fillId="36" borderId="16" xfId="0" applyFont="1" applyFill="1" applyBorder="1" applyAlignment="1">
      <alignment/>
    </xf>
    <xf numFmtId="0" fontId="89" fillId="0" borderId="0" xfId="0" applyFont="1" applyBorder="1" applyAlignment="1">
      <alignment/>
    </xf>
    <xf numFmtId="8" fontId="90" fillId="0" borderId="0" xfId="0" applyNumberFormat="1" applyFont="1" applyBorder="1" applyAlignment="1">
      <alignment/>
    </xf>
    <xf numFmtId="9" fontId="90" fillId="0" borderId="0" xfId="58" applyFont="1" applyBorder="1" applyAlignment="1">
      <alignment/>
    </xf>
    <xf numFmtId="0" fontId="0" fillId="33" borderId="0" xfId="0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3" fontId="77" fillId="33" borderId="0" xfId="0" applyNumberFormat="1" applyFont="1" applyFill="1" applyBorder="1" applyAlignment="1">
      <alignment/>
    </xf>
    <xf numFmtId="167" fontId="77" fillId="33" borderId="0" xfId="44" applyNumberFormat="1" applyFont="1" applyFill="1" applyBorder="1" applyAlignment="1">
      <alignment/>
    </xf>
    <xf numFmtId="9" fontId="92" fillId="33" borderId="0" xfId="0" applyNumberFormat="1" applyFont="1" applyFill="1" applyBorder="1" applyAlignment="1">
      <alignment/>
    </xf>
    <xf numFmtId="10" fontId="77" fillId="33" borderId="0" xfId="0" applyNumberFormat="1" applyFont="1" applyFill="1" applyBorder="1" applyAlignment="1">
      <alignment horizontal="center"/>
    </xf>
    <xf numFmtId="167" fontId="77" fillId="33" borderId="0" xfId="0" applyNumberFormat="1" applyFont="1" applyFill="1" applyBorder="1" applyAlignment="1">
      <alignment/>
    </xf>
    <xf numFmtId="167" fontId="76" fillId="33" borderId="0" xfId="0" applyNumberFormat="1" applyFont="1" applyFill="1" applyBorder="1" applyAlignment="1">
      <alignment/>
    </xf>
    <xf numFmtId="0" fontId="93" fillId="0" borderId="0" xfId="0" applyFont="1" applyAlignment="1">
      <alignment/>
    </xf>
    <xf numFmtId="44" fontId="78" fillId="0" borderId="0" xfId="0" applyNumberFormat="1" applyFont="1" applyBorder="1" applyAlignment="1">
      <alignment/>
    </xf>
    <xf numFmtId="9" fontId="89" fillId="0" borderId="0" xfId="58" applyFont="1" applyAlignment="1">
      <alignment/>
    </xf>
    <xf numFmtId="0" fontId="94" fillId="0" borderId="0" xfId="0" applyFont="1" applyAlignment="1">
      <alignment/>
    </xf>
    <xf numFmtId="44" fontId="77" fillId="0" borderId="0" xfId="0" applyNumberFormat="1" applyFont="1" applyAlignment="1">
      <alignment/>
    </xf>
    <xf numFmtId="0" fontId="66" fillId="0" borderId="0" xfId="52" applyAlignment="1">
      <alignment/>
    </xf>
    <xf numFmtId="0" fontId="77" fillId="0" borderId="0" xfId="0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167" fontId="77" fillId="0" borderId="0" xfId="44" applyNumberFormat="1" applyFont="1" applyFill="1" applyBorder="1" applyAlignment="1">
      <alignment/>
    </xf>
    <xf numFmtId="9" fontId="92" fillId="0" borderId="0" xfId="0" applyNumberFormat="1" applyFont="1" applyFill="1" applyBorder="1" applyAlignment="1">
      <alignment/>
    </xf>
    <xf numFmtId="10" fontId="77" fillId="0" borderId="0" xfId="0" applyNumberFormat="1" applyFont="1" applyFill="1" applyBorder="1" applyAlignment="1">
      <alignment horizontal="center"/>
    </xf>
    <xf numFmtId="167" fontId="77" fillId="0" borderId="0" xfId="0" applyNumberFormat="1" applyFont="1" applyFill="1" applyBorder="1" applyAlignment="1">
      <alignment/>
    </xf>
    <xf numFmtId="10" fontId="77" fillId="0" borderId="0" xfId="0" applyNumberFormat="1" applyFont="1" applyFill="1" applyBorder="1" applyAlignment="1">
      <alignment/>
    </xf>
    <xf numFmtId="44" fontId="77" fillId="0" borderId="0" xfId="44" applyFont="1" applyFill="1" applyBorder="1" applyAlignment="1">
      <alignment/>
    </xf>
    <xf numFmtId="10" fontId="77" fillId="0" borderId="0" xfId="58" applyNumberFormat="1" applyFont="1" applyFill="1" applyBorder="1" applyAlignment="1">
      <alignment/>
    </xf>
    <xf numFmtId="10" fontId="84" fillId="0" borderId="0" xfId="0" applyNumberFormat="1" applyFont="1" applyFill="1" applyBorder="1" applyAlignment="1">
      <alignment horizontal="centerContinuous"/>
    </xf>
    <xf numFmtId="0" fontId="84" fillId="0" borderId="0" xfId="0" applyFont="1" applyFill="1" applyBorder="1" applyAlignment="1">
      <alignment horizontal="centerContinuous"/>
    </xf>
    <xf numFmtId="9" fontId="77" fillId="0" borderId="0" xfId="0" applyNumberFormat="1" applyFont="1" applyFill="1" applyBorder="1" applyAlignment="1">
      <alignment/>
    </xf>
    <xf numFmtId="166" fontId="77" fillId="0" borderId="0" xfId="0" applyNumberFormat="1" applyFont="1" applyFill="1" applyBorder="1" applyAlignment="1">
      <alignment/>
    </xf>
    <xf numFmtId="3" fontId="90" fillId="0" borderId="0" xfId="0" applyNumberFormat="1" applyFont="1" applyBorder="1" applyAlignment="1">
      <alignment/>
    </xf>
    <xf numFmtId="165" fontId="82" fillId="0" borderId="20" xfId="0" applyNumberFormat="1" applyFont="1" applyBorder="1" applyAlignment="1">
      <alignment horizontal="right"/>
    </xf>
    <xf numFmtId="165" fontId="82" fillId="33" borderId="20" xfId="0" applyNumberFormat="1" applyFont="1" applyFill="1" applyBorder="1" applyAlignment="1">
      <alignment horizontal="right"/>
    </xf>
    <xf numFmtId="10" fontId="80" fillId="0" borderId="0" xfId="58" applyNumberFormat="1" applyFont="1" applyAlignment="1">
      <alignment/>
    </xf>
    <xf numFmtId="14" fontId="3" fillId="33" borderId="13" xfId="0" applyNumberFormat="1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right"/>
    </xf>
    <xf numFmtId="165" fontId="82" fillId="0" borderId="20" xfId="0" applyNumberFormat="1" applyFont="1" applyFill="1" applyBorder="1" applyAlignment="1">
      <alignment horizontal="right"/>
    </xf>
    <xf numFmtId="165" fontId="82" fillId="0" borderId="0" xfId="0" applyNumberFormat="1" applyFont="1" applyFill="1" applyBorder="1" applyAlignment="1">
      <alignment horizontal="right"/>
    </xf>
    <xf numFmtId="6" fontId="92" fillId="0" borderId="0" xfId="0" applyNumberFormat="1" applyFont="1" applyBorder="1" applyAlignment="1">
      <alignment/>
    </xf>
    <xf numFmtId="0" fontId="95" fillId="34" borderId="0" xfId="0" applyFont="1" applyFill="1" applyAlignment="1">
      <alignment/>
    </xf>
    <xf numFmtId="0" fontId="89" fillId="0" borderId="0" xfId="0" applyFont="1" applyAlignment="1">
      <alignment/>
    </xf>
    <xf numFmtId="44" fontId="89" fillId="0" borderId="0" xfId="44" applyNumberFormat="1" applyFont="1" applyAlignment="1">
      <alignment/>
    </xf>
    <xf numFmtId="0" fontId="90" fillId="0" borderId="0" xfId="0" applyFont="1" applyFill="1" applyBorder="1" applyAlignment="1">
      <alignment/>
    </xf>
    <xf numFmtId="0" fontId="85" fillId="0" borderId="25" xfId="0" applyFont="1" applyBorder="1" applyAlignment="1">
      <alignment horizontal="right" vertical="center" textRotation="90" wrapText="1"/>
    </xf>
    <xf numFmtId="0" fontId="78" fillId="0" borderId="20" xfId="0" applyFont="1" applyBorder="1" applyAlignment="1">
      <alignment horizontal="center"/>
    </xf>
    <xf numFmtId="0" fontId="85" fillId="0" borderId="0" xfId="0" applyFont="1" applyFill="1" applyBorder="1" applyAlignment="1">
      <alignment horizontal="right" vertical="center" textRotation="90" wrapText="1"/>
    </xf>
    <xf numFmtId="0" fontId="77" fillId="0" borderId="20" xfId="0" applyFont="1" applyBorder="1" applyAlignment="1">
      <alignment horizontal="center"/>
    </xf>
    <xf numFmtId="0" fontId="96" fillId="33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Terminal Value Comparison</a:t>
            </a:r>
          </a:p>
        </c:rich>
      </c:tx>
      <c:layout>
        <c:manualLayout>
          <c:xMode val="factor"/>
          <c:yMode val="factor"/>
          <c:x val="-0.001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1185"/>
          <c:w val="0.988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DCF!$E$62:$F$62</c:f>
              <c:strCache>
                <c:ptCount val="1"/>
                <c:pt idx="0">
                  <c:v>Discount Rate 6.62%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DCF!$G$60:$I$61</c:f>
              <c:multiLvlStrCache/>
            </c:multiLvlStrRef>
          </c:cat>
          <c:val>
            <c:numRef>
              <c:f>DCF!$G$62:$I$62</c:f>
              <c:numCache/>
            </c:numRef>
          </c:val>
        </c:ser>
        <c:ser>
          <c:idx val="1"/>
          <c:order val="1"/>
          <c:tx>
            <c:strRef>
              <c:f>DCF!$E$63:$F$63</c:f>
              <c:strCache>
                <c:ptCount val="1"/>
                <c:pt idx="0">
                  <c:v>Discount Rate 7.12%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DCF!$G$60:$I$61</c:f>
              <c:multiLvlStrCache/>
            </c:multiLvlStrRef>
          </c:cat>
          <c:val>
            <c:numRef>
              <c:f>DCF!$G$63:$I$63</c:f>
              <c:numCache/>
            </c:numRef>
          </c:val>
        </c:ser>
        <c:ser>
          <c:idx val="2"/>
          <c:order val="2"/>
          <c:tx>
            <c:strRef>
              <c:f>DCF!$E$64:$F$64</c:f>
              <c:strCache>
                <c:ptCount val="1"/>
                <c:pt idx="0">
                  <c:v>Discount Rate 7.62%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DCF!$G$60:$I$61</c:f>
              <c:multiLvlStrCache/>
            </c:multiLvlStrRef>
          </c:cat>
          <c:val>
            <c:numRef>
              <c:f>DCF!$G$64:$I$64</c:f>
              <c:numCache/>
            </c:numRef>
          </c:val>
        </c:ser>
        <c:overlap val="-43"/>
        <c:gapWidth val="267"/>
        <c:axId val="23467708"/>
        <c:axId val="9882781"/>
      </c:barChart>
      <c:catAx>
        <c:axId val="234677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6770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95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95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95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585"/>
          <c:y val="0.8925"/>
          <c:w val="0.679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PV of Terminal Value Comparison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11775"/>
          <c:w val="0.987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DCF!$K$62:$L$62</c:f>
              <c:strCache>
                <c:ptCount val="1"/>
                <c:pt idx="0">
                  <c:v>Discount Rate 6.62%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DCF!$M$60:$O$61</c:f>
              <c:multiLvlStrCache/>
            </c:multiLvlStrRef>
          </c:cat>
          <c:val>
            <c:numRef>
              <c:f>DCF!$M$62:$O$62</c:f>
              <c:numCache/>
            </c:numRef>
          </c:val>
        </c:ser>
        <c:ser>
          <c:idx val="1"/>
          <c:order val="1"/>
          <c:tx>
            <c:strRef>
              <c:f>DCF!$K$63:$L$63</c:f>
              <c:strCache>
                <c:ptCount val="1"/>
                <c:pt idx="0">
                  <c:v>Discount Rate 7.12%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DCF!$M$60:$O$61</c:f>
              <c:multiLvlStrCache/>
            </c:multiLvlStrRef>
          </c:cat>
          <c:val>
            <c:numRef>
              <c:f>DCF!$M$63:$O$63</c:f>
              <c:numCache/>
            </c:numRef>
          </c:val>
        </c:ser>
        <c:ser>
          <c:idx val="2"/>
          <c:order val="2"/>
          <c:tx>
            <c:strRef>
              <c:f>DCF!$K$64:$L$64</c:f>
              <c:strCache>
                <c:ptCount val="1"/>
                <c:pt idx="0">
                  <c:v>Discount Rate 7.62%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DCF!$M$60:$O$61</c:f>
              <c:multiLvlStrCache/>
            </c:multiLvlStrRef>
          </c:cat>
          <c:val>
            <c:numRef>
              <c:f>DCF!$M$64:$O$64</c:f>
              <c:numCache/>
            </c:numRef>
          </c:val>
        </c:ser>
        <c:overlap val="-43"/>
        <c:gapWidth val="267"/>
        <c:axId val="21836166"/>
        <c:axId val="62307767"/>
      </c:barChart>
      <c:catAx>
        <c:axId val="21836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07767"/>
        <c:crosses val="autoZero"/>
        <c:auto val="1"/>
        <c:lblOffset val="100"/>
        <c:tickLblSkip val="1"/>
        <c:noMultiLvlLbl val="0"/>
      </c:catAx>
      <c:valAx>
        <c:axId val="62307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3616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1625"/>
          <c:y val="0.89275"/>
          <c:w val="0.763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Free Cash Flow Generation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675"/>
          <c:w val="0.99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DCF!$E$15:$O$15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DCF!$E$15:$O$15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strRef>
              <c:f>DCF!$A$19</c:f>
              <c:strCache>
                <c:ptCount val="1"/>
                <c:pt idx="0">
                  <c:v>Free Cash Flow 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DCF!$E$15:$O$15</c:f>
              <c:strCache/>
            </c:strRef>
          </c:cat>
          <c:val>
            <c:numRef>
              <c:f>DCF!$E$19:$O$19</c:f>
              <c:numCache/>
            </c:numRef>
          </c:val>
        </c:ser>
        <c:ser>
          <c:idx val="4"/>
          <c:order val="3"/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DCF!$E$15:$O$15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-43"/>
        <c:gapWidth val="267"/>
        <c:axId val="23898992"/>
        <c:axId val="13764337"/>
      </c:barChart>
      <c:dateAx>
        <c:axId val="238989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6433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3764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9899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4655"/>
          <c:y val="0.905"/>
          <c:w val="0.067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3048000</xdr:colOff>
      <xdr:row>72</xdr:row>
      <xdr:rowOff>66675</xdr:rowOff>
    </xdr:from>
    <xdr:to>
      <xdr:col>6</xdr:col>
      <xdr:colOff>333375</xdr:colOff>
      <xdr:row>86</xdr:row>
      <xdr:rowOff>104775</xdr:rowOff>
    </xdr:to>
    <xdr:graphicFrame>
      <xdr:nvGraphicFramePr>
        <xdr:cNvPr id="1" name="Chart 7"/>
        <xdr:cNvGraphicFramePr/>
      </xdr:nvGraphicFramePr>
      <xdr:xfrm>
        <a:off x="3048000" y="13515975"/>
        <a:ext cx="7696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857250</xdr:colOff>
      <xdr:row>72</xdr:row>
      <xdr:rowOff>85725</xdr:rowOff>
    </xdr:from>
    <xdr:to>
      <xdr:col>13</xdr:col>
      <xdr:colOff>161925</xdr:colOff>
      <xdr:row>86</xdr:row>
      <xdr:rowOff>133350</xdr:rowOff>
    </xdr:to>
    <xdr:graphicFrame>
      <xdr:nvGraphicFramePr>
        <xdr:cNvPr id="2" name="Chart 9"/>
        <xdr:cNvGraphicFramePr/>
      </xdr:nvGraphicFramePr>
      <xdr:xfrm>
        <a:off x="12515850" y="13535025"/>
        <a:ext cx="6858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9525</xdr:rowOff>
    </xdr:from>
    <xdr:to>
      <xdr:col>15</xdr:col>
      <xdr:colOff>238125</xdr:colOff>
      <xdr:row>38</xdr:row>
      <xdr:rowOff>133350</xdr:rowOff>
    </xdr:to>
    <xdr:graphicFrame>
      <xdr:nvGraphicFramePr>
        <xdr:cNvPr id="3" name="Chart 12"/>
        <xdr:cNvGraphicFramePr/>
      </xdr:nvGraphicFramePr>
      <xdr:xfrm>
        <a:off x="152400" y="4400550"/>
        <a:ext cx="21431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8"/>
  <sheetViews>
    <sheetView showGridLines="0" tabSelected="1" zoomScale="80" zoomScaleNormal="80" zoomScalePageLayoutView="80" workbookViewId="0" topLeftCell="A1">
      <selection activeCell="A1" sqref="A1"/>
    </sheetView>
  </sheetViews>
  <sheetFormatPr defaultColWidth="11.00390625" defaultRowHeight="15.75"/>
  <cols>
    <col min="1" max="1" width="48.50390625" style="0" customWidth="1"/>
    <col min="2" max="2" width="31.50390625" style="0" customWidth="1"/>
    <col min="3" max="3" width="0.12890625" style="0" customWidth="1"/>
    <col min="4" max="4" width="14.375" style="0" customWidth="1"/>
    <col min="5" max="5" width="25.00390625" style="0" bestFit="1" customWidth="1"/>
    <col min="6" max="6" width="17.125" style="0" customWidth="1"/>
    <col min="7" max="7" width="16.375" style="0" customWidth="1"/>
    <col min="8" max="8" width="12.625" style="0" bestFit="1" customWidth="1"/>
    <col min="9" max="9" width="16.00390625" style="0" customWidth="1"/>
    <col min="10" max="10" width="17.50390625" style="0" customWidth="1"/>
    <col min="11" max="11" width="25.00390625" style="0" bestFit="1" customWidth="1"/>
    <col min="12" max="15" width="14.00390625" style="0" bestFit="1" customWidth="1"/>
    <col min="16" max="16" width="23.375" style="0" customWidth="1"/>
    <col min="17" max="17" width="21.00390625" style="0" bestFit="1" customWidth="1"/>
  </cols>
  <sheetData>
    <row r="2" spans="1:7" ht="26.25">
      <c r="A2" s="73" t="s">
        <v>40</v>
      </c>
      <c r="G2" s="90"/>
    </row>
    <row r="3" spans="1:17" ht="15.75" customHeight="1">
      <c r="A3" s="74" t="s">
        <v>33</v>
      </c>
      <c r="I3" s="79"/>
      <c r="J3" s="79"/>
      <c r="K3" s="79"/>
      <c r="L3" s="79"/>
      <c r="M3" s="79"/>
      <c r="N3" s="126"/>
      <c r="O3" s="126"/>
      <c r="P3" s="126"/>
      <c r="Q3" s="126"/>
    </row>
    <row r="4" spans="1:17" ht="15.75">
      <c r="A4" s="12"/>
      <c r="B4" s="11"/>
      <c r="C4" s="11"/>
      <c r="D4" s="11"/>
      <c r="E4" s="11"/>
      <c r="F4" s="11"/>
      <c r="G4" s="11"/>
      <c r="H4" s="11"/>
      <c r="I4" s="80"/>
      <c r="J4" s="80"/>
      <c r="K4" s="81"/>
      <c r="L4" s="80"/>
      <c r="M4" s="82"/>
      <c r="N4" s="83"/>
      <c r="O4" s="83"/>
      <c r="P4" s="83"/>
      <c r="Q4" s="83"/>
    </row>
    <row r="5" spans="1:17" ht="18">
      <c r="A5" s="118" t="s">
        <v>23</v>
      </c>
      <c r="B5" s="13"/>
      <c r="C5" s="11"/>
      <c r="D5" s="11"/>
      <c r="E5" s="11"/>
      <c r="F5" s="11"/>
      <c r="G5" s="11"/>
      <c r="H5" s="11"/>
      <c r="I5" s="80"/>
      <c r="J5" s="84"/>
      <c r="K5" s="85"/>
      <c r="L5" s="86"/>
      <c r="M5" s="87"/>
      <c r="N5" s="85"/>
      <c r="O5" s="88"/>
      <c r="P5" s="88"/>
      <c r="Q5" s="88"/>
    </row>
    <row r="6" spans="1:17" ht="15.75">
      <c r="A6" s="11" t="s">
        <v>36</v>
      </c>
      <c r="B6" s="14">
        <v>43830</v>
      </c>
      <c r="C6" s="15"/>
      <c r="D6" s="15"/>
      <c r="E6" s="11"/>
      <c r="F6" s="11"/>
      <c r="G6" s="11"/>
      <c r="H6" s="11"/>
      <c r="I6" s="80"/>
      <c r="J6" s="84"/>
      <c r="K6" s="85"/>
      <c r="L6" s="86"/>
      <c r="M6" s="87"/>
      <c r="N6" s="85"/>
      <c r="O6" s="88"/>
      <c r="P6" s="88"/>
      <c r="Q6" s="88"/>
    </row>
    <row r="7" spans="1:17" ht="15.75">
      <c r="A7" s="11" t="s">
        <v>0</v>
      </c>
      <c r="B7" s="112">
        <f>((0.0217+(0.055*0.9)))</f>
        <v>0.0712</v>
      </c>
      <c r="C7" s="17"/>
      <c r="D7" s="102"/>
      <c r="E7" s="96"/>
      <c r="F7" s="96"/>
      <c r="G7" s="96"/>
      <c r="H7" s="96"/>
      <c r="I7" s="96"/>
      <c r="J7" s="97"/>
      <c r="K7" s="98"/>
      <c r="L7" s="99"/>
      <c r="M7" s="100"/>
      <c r="N7" s="98"/>
      <c r="O7" s="101"/>
      <c r="P7" s="88"/>
      <c r="Q7" s="88"/>
    </row>
    <row r="8" spans="1:17" ht="15.75" customHeight="1">
      <c r="A8" s="11" t="s">
        <v>29</v>
      </c>
      <c r="B8" s="16">
        <v>0.005</v>
      </c>
      <c r="C8" s="17"/>
      <c r="D8" s="10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88"/>
      <c r="Q8" s="88"/>
    </row>
    <row r="9" spans="1:17" ht="15.75">
      <c r="A9" s="11" t="s">
        <v>14</v>
      </c>
      <c r="B9" s="16">
        <v>0.05</v>
      </c>
      <c r="C9" s="17"/>
      <c r="D9" s="102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89"/>
      <c r="Q9" s="89"/>
    </row>
    <row r="10" spans="1:17" ht="15.75">
      <c r="A10" s="11" t="s">
        <v>28</v>
      </c>
      <c r="B10" s="16">
        <v>0.0025</v>
      </c>
      <c r="C10" s="17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1"/>
      <c r="Q10" s="11"/>
    </row>
    <row r="11" spans="1:15" ht="15.75" hidden="1">
      <c r="A11" s="11" t="s">
        <v>6</v>
      </c>
      <c r="B11" s="16">
        <v>0.21</v>
      </c>
      <c r="C11" s="17"/>
      <c r="D11" s="102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5.75">
      <c r="A12" s="11"/>
      <c r="B12" s="11"/>
      <c r="C12" s="11"/>
      <c r="D12" s="11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118" t="s">
        <v>21</v>
      </c>
      <c r="B13" s="13"/>
      <c r="C13" s="13"/>
      <c r="D13" s="13"/>
      <c r="E13" s="13"/>
      <c r="F13" s="13"/>
      <c r="G13" s="13"/>
      <c r="H13" s="65"/>
      <c r="I13" s="65"/>
      <c r="J13" s="65"/>
      <c r="K13" s="13"/>
      <c r="L13" s="13"/>
      <c r="M13" s="13"/>
      <c r="N13" s="13"/>
      <c r="O13" s="13"/>
    </row>
    <row r="14" spans="1:15" ht="15.75">
      <c r="A14" s="12" t="s">
        <v>37</v>
      </c>
      <c r="B14" s="11"/>
      <c r="C14" s="11"/>
      <c r="D14" s="11"/>
      <c r="E14" s="125" t="s">
        <v>31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15.75">
      <c r="A15" s="34"/>
      <c r="B15" s="34"/>
      <c r="C15" s="34"/>
      <c r="D15" s="34"/>
      <c r="E15" s="56">
        <f>B6</f>
        <v>43830</v>
      </c>
      <c r="F15" s="113">
        <f>E15+365.5</f>
        <v>44195.5</v>
      </c>
      <c r="G15" s="57">
        <f aca="true" t="shared" si="0" ref="G15:O15">F15+365.25</f>
        <v>44560.75</v>
      </c>
      <c r="H15" s="57">
        <f>G15+365</f>
        <v>44925.75</v>
      </c>
      <c r="I15" s="57">
        <f t="shared" si="0"/>
        <v>45291</v>
      </c>
      <c r="J15" s="113">
        <f t="shared" si="0"/>
        <v>45656.25</v>
      </c>
      <c r="K15" s="114">
        <f t="shared" si="0"/>
        <v>46021.5</v>
      </c>
      <c r="L15" s="57">
        <f t="shared" si="0"/>
        <v>46386.75</v>
      </c>
      <c r="M15" s="57">
        <f t="shared" si="0"/>
        <v>46752</v>
      </c>
      <c r="N15" s="113">
        <f t="shared" si="0"/>
        <v>47117.25</v>
      </c>
      <c r="O15" s="57">
        <f t="shared" si="0"/>
        <v>47482.5</v>
      </c>
    </row>
    <row r="16" spans="1:16" ht="15.75">
      <c r="A16" s="75" t="s">
        <v>1</v>
      </c>
      <c r="B16" s="58"/>
      <c r="C16" s="58"/>
      <c r="D16" s="58"/>
      <c r="E16" s="59">
        <v>0</v>
      </c>
      <c r="F16" s="59">
        <v>0</v>
      </c>
      <c r="G16" s="59">
        <v>21</v>
      </c>
      <c r="H16" s="59">
        <f aca="true" t="shared" si="1" ref="F16:O16">G16*(1+H17)</f>
        <v>66.14999999999999</v>
      </c>
      <c r="I16" s="59">
        <f t="shared" si="1"/>
        <v>148.83749999999998</v>
      </c>
      <c r="J16" s="59">
        <f>I16*(1+J17)</f>
        <v>260.46562499999993</v>
      </c>
      <c r="K16" s="59">
        <f>J16*(1+K17)</f>
        <v>390.6984374999999</v>
      </c>
      <c r="L16" s="59">
        <f t="shared" si="1"/>
        <v>527.4428906249999</v>
      </c>
      <c r="M16" s="59">
        <f t="shared" si="1"/>
        <v>659.3036132812499</v>
      </c>
      <c r="N16" s="59">
        <f t="shared" si="1"/>
        <v>824.1295166015624</v>
      </c>
      <c r="O16" s="59">
        <f t="shared" si="1"/>
        <v>988.9554199218749</v>
      </c>
      <c r="P16" s="3"/>
    </row>
    <row r="17" spans="1:16" s="4" customFormat="1" ht="15.75">
      <c r="A17" s="62" t="s">
        <v>3</v>
      </c>
      <c r="B17" s="63"/>
      <c r="C17" s="63"/>
      <c r="D17" s="63"/>
      <c r="E17" s="64" t="s">
        <v>5</v>
      </c>
      <c r="F17" s="111">
        <v>0</v>
      </c>
      <c r="G17" s="111" t="s">
        <v>41</v>
      </c>
      <c r="H17" s="111">
        <v>2.15</v>
      </c>
      <c r="I17" s="111">
        <v>1.25</v>
      </c>
      <c r="J17" s="111">
        <v>0.75</v>
      </c>
      <c r="K17" s="115">
        <v>0.5</v>
      </c>
      <c r="L17" s="111">
        <v>0.35</v>
      </c>
      <c r="M17" s="111">
        <v>0.25</v>
      </c>
      <c r="N17" s="111">
        <v>0.25</v>
      </c>
      <c r="O17" s="111">
        <v>0.2</v>
      </c>
      <c r="P17" s="5"/>
    </row>
    <row r="18" spans="1:16" s="4" customFormat="1" ht="15.75">
      <c r="A18" s="19"/>
      <c r="B18" s="20"/>
      <c r="C18" s="20"/>
      <c r="D18" s="20"/>
      <c r="E18" s="54"/>
      <c r="F18" s="21"/>
      <c r="G18" s="21"/>
      <c r="H18" s="21"/>
      <c r="I18" s="21"/>
      <c r="J18" s="21"/>
      <c r="K18" s="116"/>
      <c r="L18" s="21"/>
      <c r="M18" s="21"/>
      <c r="N18" s="21"/>
      <c r="O18" s="21"/>
      <c r="P18" s="5"/>
    </row>
    <row r="19" spans="1:16" ht="15.75">
      <c r="A19" s="58" t="s">
        <v>30</v>
      </c>
      <c r="B19" s="58"/>
      <c r="C19" s="58"/>
      <c r="D19" s="58"/>
      <c r="E19" s="59">
        <f>E16*E20</f>
        <v>0</v>
      </c>
      <c r="F19" s="59">
        <v>-17</v>
      </c>
      <c r="G19" s="59">
        <f aca="true" t="shared" si="2" ref="F19:O19">G16*G20</f>
        <v>-63</v>
      </c>
      <c r="H19" s="59">
        <f t="shared" si="2"/>
        <v>-49.6125</v>
      </c>
      <c r="I19" s="59">
        <f t="shared" si="2"/>
        <v>-14.88375</v>
      </c>
      <c r="J19" s="59">
        <f t="shared" si="2"/>
        <v>6.511640624999998</v>
      </c>
      <c r="K19" s="59">
        <f t="shared" si="2"/>
        <v>19.534921874999995</v>
      </c>
      <c r="L19" s="59">
        <f t="shared" si="2"/>
        <v>26.372144531249997</v>
      </c>
      <c r="M19" s="59">
        <f t="shared" si="2"/>
        <v>49.447770996093745</v>
      </c>
      <c r="N19" s="59">
        <f t="shared" si="2"/>
        <v>61.80971374511718</v>
      </c>
      <c r="O19" s="59">
        <f t="shared" si="2"/>
        <v>98.89554199218749</v>
      </c>
      <c r="P19" s="1"/>
    </row>
    <row r="20" spans="1:16" s="7" customFormat="1" ht="15.75">
      <c r="A20" s="60" t="s">
        <v>4</v>
      </c>
      <c r="B20" s="123"/>
      <c r="C20" s="123"/>
      <c r="D20" s="123"/>
      <c r="E20" s="110">
        <v>0</v>
      </c>
      <c r="F20" s="110">
        <v>0</v>
      </c>
      <c r="G20" s="110">
        <v>-3</v>
      </c>
      <c r="H20" s="110">
        <v>-0.75</v>
      </c>
      <c r="I20" s="110">
        <v>-0.1</v>
      </c>
      <c r="J20" s="110">
        <v>0.025</v>
      </c>
      <c r="K20" s="110">
        <v>0.05</v>
      </c>
      <c r="L20" s="110">
        <v>0.05</v>
      </c>
      <c r="M20" s="110">
        <v>0.075</v>
      </c>
      <c r="N20" s="110">
        <v>0.075</v>
      </c>
      <c r="O20" s="110">
        <v>0.1</v>
      </c>
      <c r="P20" s="8"/>
    </row>
    <row r="21" spans="1:16" s="7" customFormat="1" ht="15.75">
      <c r="A21" s="19"/>
      <c r="B21" s="20"/>
      <c r="C21" s="20"/>
      <c r="D21" s="2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8"/>
    </row>
    <row r="22" spans="1:16" s="4" customFormat="1" ht="15.75">
      <c r="A22" s="19"/>
      <c r="B22" s="20"/>
      <c r="C22" s="20"/>
      <c r="D22" s="20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/>
    </row>
    <row r="23" spans="1:16" s="4" customFormat="1" ht="15.75">
      <c r="A23" s="19"/>
      <c r="B23" s="20"/>
      <c r="C23" s="20"/>
      <c r="D23" s="20"/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/>
    </row>
    <row r="24" spans="1:16" s="4" customFormat="1" ht="15.75">
      <c r="A24" s="19"/>
      <c r="B24" s="20"/>
      <c r="C24" s="20"/>
      <c r="D24" s="20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/>
    </row>
    <row r="25" spans="1:16" s="4" customFormat="1" ht="15.75">
      <c r="A25" s="19"/>
      <c r="B25" s="20"/>
      <c r="C25" s="20"/>
      <c r="D25" s="20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/>
    </row>
    <row r="26" spans="1:16" s="4" customFormat="1" ht="15.75">
      <c r="A26" s="19"/>
      <c r="B26" s="20"/>
      <c r="C26" s="20"/>
      <c r="D26" s="20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/>
    </row>
    <row r="27" spans="1:16" s="4" customFormat="1" ht="15.75">
      <c r="A27" s="19"/>
      <c r="B27" s="20"/>
      <c r="C27" s="20"/>
      <c r="D27" s="20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/>
    </row>
    <row r="28" spans="1:16" s="4" customFormat="1" ht="15.75">
      <c r="A28" s="19"/>
      <c r="B28" s="20"/>
      <c r="C28" s="20"/>
      <c r="D28" s="20"/>
      <c r="E28" s="2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/>
    </row>
    <row r="29" spans="1:16" s="4" customFormat="1" ht="15.75">
      <c r="A29" s="19"/>
      <c r="B29" s="20"/>
      <c r="C29" s="20"/>
      <c r="D29" s="20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/>
    </row>
    <row r="30" spans="1:16" s="4" customFormat="1" ht="15.75">
      <c r="A30" s="19"/>
      <c r="B30" s="20"/>
      <c r="C30" s="20"/>
      <c r="D30" s="20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/>
    </row>
    <row r="31" spans="1:16" s="4" customFormat="1" ht="15.75">
      <c r="A31" s="19"/>
      <c r="B31" s="20"/>
      <c r="C31" s="20"/>
      <c r="D31" s="20"/>
      <c r="E31" s="2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/>
    </row>
    <row r="32" spans="1:16" s="4" customFormat="1" ht="15.75">
      <c r="A32" s="19"/>
      <c r="B32" s="20"/>
      <c r="C32" s="20"/>
      <c r="D32" s="20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/>
    </row>
    <row r="33" spans="1:16" s="4" customFormat="1" ht="15.75">
      <c r="A33" s="19"/>
      <c r="B33" s="20"/>
      <c r="C33" s="20"/>
      <c r="D33" s="20"/>
      <c r="E33" s="2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/>
    </row>
    <row r="34" spans="1:16" s="4" customFormat="1" ht="15.75">
      <c r="A34" s="19"/>
      <c r="B34" s="20"/>
      <c r="C34" s="20"/>
      <c r="D34" s="20"/>
      <c r="E34" s="2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"/>
    </row>
    <row r="35" spans="1:16" s="4" customFormat="1" ht="15.75">
      <c r="A35" s="19"/>
      <c r="B35" s="20"/>
      <c r="C35" s="20"/>
      <c r="D35" s="20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"/>
    </row>
    <row r="36" spans="1:16" s="4" customFormat="1" ht="15.75">
      <c r="A36" s="19"/>
      <c r="B36" s="20"/>
      <c r="C36" s="20"/>
      <c r="D36" s="20"/>
      <c r="E36" s="2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6"/>
    </row>
    <row r="37" spans="1:16" s="4" customFormat="1" ht="15.75">
      <c r="A37" s="19"/>
      <c r="B37" s="20"/>
      <c r="C37" s="20"/>
      <c r="D37" s="20"/>
      <c r="E37" s="2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6"/>
    </row>
    <row r="38" spans="1:16" s="4" customFormat="1" ht="15.75">
      <c r="A38" s="19"/>
      <c r="B38" s="20"/>
      <c r="C38" s="20"/>
      <c r="D38" s="20"/>
      <c r="E38" s="2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6"/>
    </row>
    <row r="39" spans="1:16" s="4" customFormat="1" ht="15.75">
      <c r="A39" s="19"/>
      <c r="B39" s="20"/>
      <c r="C39" s="20"/>
      <c r="D39" s="20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6"/>
    </row>
    <row r="40" spans="1:16" s="4" customFormat="1" ht="15.75">
      <c r="A40" s="25"/>
      <c r="B40" s="26"/>
      <c r="C40" s="26"/>
      <c r="D40" s="26"/>
      <c r="E40" s="5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6"/>
    </row>
    <row r="41" spans="1:15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6" ht="18">
      <c r="A44" s="118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"/>
    </row>
    <row r="45" spans="1:16" ht="15.75">
      <c r="A45" s="11"/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"/>
    </row>
    <row r="46" spans="1:16" ht="15.75">
      <c r="A46" s="11" t="s">
        <v>2</v>
      </c>
      <c r="B46" s="11"/>
      <c r="C46" s="11"/>
      <c r="D46" s="11"/>
      <c r="E46" s="29"/>
      <c r="F46" s="29">
        <v>1</v>
      </c>
      <c r="G46" s="29">
        <v>2</v>
      </c>
      <c r="H46" s="29">
        <v>3</v>
      </c>
      <c r="I46" s="29">
        <v>4</v>
      </c>
      <c r="J46" s="29">
        <v>5</v>
      </c>
      <c r="K46" s="29">
        <v>6</v>
      </c>
      <c r="L46" s="29">
        <v>7</v>
      </c>
      <c r="M46" s="29">
        <f>(M15-L15)/365+L46</f>
        <v>8.00068493150685</v>
      </c>
      <c r="N46" s="29">
        <f>(N15-M15)/365+M46</f>
        <v>9.0013698630137</v>
      </c>
      <c r="O46" s="29">
        <f>(O15-N15)/365+N46</f>
        <v>10.00205479452055</v>
      </c>
      <c r="P46" s="1"/>
    </row>
    <row r="47" spans="1:16" ht="15.75">
      <c r="A47" s="30" t="s">
        <v>22</v>
      </c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"/>
    </row>
    <row r="48" spans="1:16" ht="15.75">
      <c r="A48" s="17">
        <f>$B$7-$B$8</f>
        <v>0.0662</v>
      </c>
      <c r="B48" s="11"/>
      <c r="C48" s="11"/>
      <c r="D48" s="11"/>
      <c r="E48" s="29"/>
      <c r="F48" s="29">
        <f aca="true" t="shared" si="3" ref="F48:O50">F$19/(1+$A48)^F$46</f>
        <v>-15.944475708122303</v>
      </c>
      <c r="G48" s="29">
        <f t="shared" si="3"/>
        <v>-55.41957527070878</v>
      </c>
      <c r="H48" s="29">
        <f t="shared" si="3"/>
        <v>-40.933141554758166</v>
      </c>
      <c r="I48" s="29">
        <f t="shared" si="3"/>
        <v>-11.517484961946586</v>
      </c>
      <c r="J48" s="29">
        <f t="shared" si="3"/>
        <v>4.72603608220937</v>
      </c>
      <c r="K48" s="29">
        <f t="shared" si="3"/>
        <v>13.297794266205315</v>
      </c>
      <c r="L48" s="29">
        <f t="shared" si="3"/>
        <v>16.837387225077077</v>
      </c>
      <c r="M48" s="29">
        <f t="shared" si="3"/>
        <v>29.60862408578152</v>
      </c>
      <c r="N48" s="29">
        <f t="shared" si="3"/>
        <v>34.711269174726255</v>
      </c>
      <c r="O48" s="29">
        <f t="shared" si="3"/>
        <v>52.08740606837551</v>
      </c>
      <c r="P48" s="1"/>
    </row>
    <row r="49" spans="1:16" ht="15.75">
      <c r="A49" s="17">
        <f>$B$7</f>
        <v>0.0712</v>
      </c>
      <c r="B49" s="11"/>
      <c r="C49" s="11"/>
      <c r="D49" s="11"/>
      <c r="E49" s="29"/>
      <c r="F49" s="29">
        <f t="shared" si="3"/>
        <v>-15.87005227781927</v>
      </c>
      <c r="G49" s="29">
        <f t="shared" si="3"/>
        <v>-54.90342296174791</v>
      </c>
      <c r="H49" s="29">
        <f t="shared" si="3"/>
        <v>-40.3626265705531</v>
      </c>
      <c r="I49" s="29">
        <f t="shared" si="3"/>
        <v>-11.3039469484372</v>
      </c>
      <c r="J49" s="29">
        <f t="shared" si="3"/>
        <v>4.616763246771168</v>
      </c>
      <c r="K49" s="29">
        <f t="shared" si="3"/>
        <v>12.92969542598348</v>
      </c>
      <c r="L49" s="29">
        <f t="shared" si="3"/>
        <v>16.294892480468356</v>
      </c>
      <c r="M49" s="29">
        <f t="shared" si="3"/>
        <v>28.520802939932935</v>
      </c>
      <c r="N49" s="29">
        <f t="shared" si="3"/>
        <v>33.27980229852191</v>
      </c>
      <c r="O49" s="29">
        <f t="shared" si="3"/>
        <v>49.70610089422941</v>
      </c>
      <c r="P49" s="1"/>
    </row>
    <row r="50" spans="1:16" ht="15.75">
      <c r="A50" s="17">
        <f>$B$7+$B$8</f>
        <v>0.0762</v>
      </c>
      <c r="B50" s="11"/>
      <c r="C50" s="11"/>
      <c r="D50" s="11"/>
      <c r="E50" s="29"/>
      <c r="F50" s="29">
        <f t="shared" si="3"/>
        <v>-15.79632038654525</v>
      </c>
      <c r="G50" s="29">
        <f t="shared" si="3"/>
        <v>-54.394448022582225</v>
      </c>
      <c r="H50" s="29">
        <f t="shared" si="3"/>
        <v>-39.80266476285402</v>
      </c>
      <c r="I50" s="29">
        <f t="shared" si="3"/>
        <v>-11.095334908805246</v>
      </c>
      <c r="J50" s="29">
        <f t="shared" si="3"/>
        <v>4.510508290840265</v>
      </c>
      <c r="K50" s="29">
        <f t="shared" si="3"/>
        <v>12.573429541461437</v>
      </c>
      <c r="L50" s="29">
        <f t="shared" si="3"/>
        <v>15.772281993098812</v>
      </c>
      <c r="M50" s="29">
        <f t="shared" si="3"/>
        <v>27.477737674402462</v>
      </c>
      <c r="N50" s="29">
        <f t="shared" si="3"/>
        <v>31.91362619704785</v>
      </c>
      <c r="O50" s="29">
        <f t="shared" si="3"/>
        <v>47.4440007712833</v>
      </c>
      <c r="P50" s="1"/>
    </row>
    <row r="51" spans="1:16" ht="15.75">
      <c r="A51" s="11"/>
      <c r="B51" s="11"/>
      <c r="C51" s="11"/>
      <c r="D51" s="1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"/>
    </row>
    <row r="52" spans="1:15" ht="15.75">
      <c r="A52" s="11" t="s">
        <v>7</v>
      </c>
      <c r="B52" s="11"/>
      <c r="C52" s="11"/>
      <c r="D52" s="11"/>
      <c r="E52" s="11"/>
      <c r="F52" s="32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>
      <c r="A53" s="33">
        <f>$B$7-$B$8</f>
        <v>0.0662</v>
      </c>
      <c r="B53" s="34"/>
      <c r="C53" s="34"/>
      <c r="D53" s="34"/>
      <c r="E53" s="35">
        <f>SUM(F48:O48)</f>
        <v>27.453839406839208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>
      <c r="A54" s="33">
        <f>$B$7</f>
        <v>0.0712</v>
      </c>
      <c r="B54" s="34"/>
      <c r="C54" s="34"/>
      <c r="D54" s="34"/>
      <c r="E54" s="35">
        <f>SUM(F49:O49)</f>
        <v>22.9080085273498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33">
        <f>$B$7+$B$8</f>
        <v>0.0762</v>
      </c>
      <c r="B55" s="34"/>
      <c r="C55" s="34"/>
      <c r="D55" s="34"/>
      <c r="E55" s="35">
        <f>SUM(F50:O50)</f>
        <v>18.602816387347392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8">
      <c r="A57" s="118" t="s">
        <v>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>
      <c r="A59" s="11"/>
      <c r="B59" s="36"/>
      <c r="C59" s="32"/>
      <c r="D59" s="32"/>
      <c r="E59" s="30" t="s">
        <v>10</v>
      </c>
      <c r="F59" s="30"/>
      <c r="G59" s="30"/>
      <c r="H59" s="30"/>
      <c r="I59" s="30"/>
      <c r="J59" s="11"/>
      <c r="K59" s="30" t="s">
        <v>11</v>
      </c>
      <c r="L59" s="30"/>
      <c r="M59" s="30"/>
      <c r="N59" s="30"/>
      <c r="O59" s="30"/>
    </row>
    <row r="60" spans="1:15" ht="15.75">
      <c r="A60" s="11" t="s">
        <v>9</v>
      </c>
      <c r="B60" s="36">
        <f>O19</f>
        <v>98.89554199218749</v>
      </c>
      <c r="C60" s="32"/>
      <c r="D60" s="32"/>
      <c r="E60" s="11"/>
      <c r="F60" s="11"/>
      <c r="G60" s="37" t="s">
        <v>14</v>
      </c>
      <c r="H60" s="38"/>
      <c r="I60" s="38"/>
      <c r="J60" s="11"/>
      <c r="K60" s="11"/>
      <c r="L60" s="11"/>
      <c r="M60" s="37" t="s">
        <v>14</v>
      </c>
      <c r="N60" s="38"/>
      <c r="O60" s="38"/>
    </row>
    <row r="61" spans="1:15" ht="15.75">
      <c r="A61" s="11" t="s">
        <v>12</v>
      </c>
      <c r="B61" s="36">
        <f>O46</f>
        <v>10.00205479452055</v>
      </c>
      <c r="C61" s="39"/>
      <c r="D61" s="39"/>
      <c r="E61" s="11"/>
      <c r="F61" s="11"/>
      <c r="G61" s="17">
        <f>$B$64-$B$65</f>
        <v>0.0475</v>
      </c>
      <c r="H61" s="17">
        <f>$B$64</f>
        <v>0.05</v>
      </c>
      <c r="I61" s="17">
        <f>$B$64+$B$65</f>
        <v>0.052500000000000005</v>
      </c>
      <c r="J61" s="11"/>
      <c r="K61" s="11"/>
      <c r="L61" s="11"/>
      <c r="M61" s="17">
        <f>$B$64-$B$65</f>
        <v>0.0475</v>
      </c>
      <c r="N61" s="17">
        <f>$B$64</f>
        <v>0.05</v>
      </c>
      <c r="O61" s="17">
        <f>$B$64+$B$65</f>
        <v>0.052500000000000005</v>
      </c>
    </row>
    <row r="62" spans="1:15" ht="15.75">
      <c r="A62" s="11" t="s">
        <v>0</v>
      </c>
      <c r="B62" s="39">
        <f>B7</f>
        <v>0.0712</v>
      </c>
      <c r="C62" s="39"/>
      <c r="D62" s="39"/>
      <c r="E62" s="122" t="s">
        <v>0</v>
      </c>
      <c r="F62" s="17">
        <f>$B$7-$B$63</f>
        <v>0.0662</v>
      </c>
      <c r="G62" s="40">
        <f>($B$60*(1+G$61))/($F62-G$61)</f>
        <v>5539.736911059703</v>
      </c>
      <c r="H62" s="41">
        <f aca="true" t="shared" si="4" ref="G62:I64">($B$60*(1+H$61))/($F62-H$61)</f>
        <v>6409.896240234378</v>
      </c>
      <c r="I62" s="42">
        <f>($B$60*(1+I$61))/($F62-I$61)</f>
        <v>7597.631966918059</v>
      </c>
      <c r="J62" s="11"/>
      <c r="K62" s="122" t="s">
        <v>0</v>
      </c>
      <c r="L62" s="17">
        <f>$B$7-$B$63</f>
        <v>0.0662</v>
      </c>
      <c r="M62" s="40">
        <f>G62/((1+$L62)^$B$61)</f>
        <v>2917.7303666643515</v>
      </c>
      <c r="N62" s="41">
        <f>H62/((1+$L62)^$B$61)</f>
        <v>3376.035578505822</v>
      </c>
      <c r="O62" s="42">
        <f>I62/((1+$L62)^$B$61)</f>
        <v>4001.605466201844</v>
      </c>
    </row>
    <row r="63" spans="1:15" ht="15.75">
      <c r="A63" s="11" t="s">
        <v>29</v>
      </c>
      <c r="B63" s="39">
        <f>B8</f>
        <v>0.005</v>
      </c>
      <c r="C63" s="39"/>
      <c r="D63" s="39"/>
      <c r="E63" s="122"/>
      <c r="F63" s="17">
        <f>$B$7</f>
        <v>0.0712</v>
      </c>
      <c r="G63" s="43">
        <f t="shared" si="4"/>
        <v>4371.016043747528</v>
      </c>
      <c r="H63" s="23">
        <f t="shared" si="4"/>
        <v>4898.128259047023</v>
      </c>
      <c r="I63" s="22">
        <f t="shared" si="4"/>
        <v>5566.179569346384</v>
      </c>
      <c r="J63" s="11"/>
      <c r="K63" s="122"/>
      <c r="L63" s="17">
        <f>$B$7</f>
        <v>0.0712</v>
      </c>
      <c r="M63" s="43">
        <f aca="true" t="shared" si="5" ref="M63:O64">G63/((1+$L63)^$B$61)</f>
        <v>2196.925767371532</v>
      </c>
      <c r="N63" s="23">
        <f t="shared" si="5"/>
        <v>2461.8587707047586</v>
      </c>
      <c r="O63" s="22">
        <f t="shared" si="5"/>
        <v>2797.6294754639825</v>
      </c>
    </row>
    <row r="64" spans="1:15" ht="15.75">
      <c r="A64" s="11" t="s">
        <v>14</v>
      </c>
      <c r="B64" s="39">
        <f>B9</f>
        <v>0.05</v>
      </c>
      <c r="C64" s="39"/>
      <c r="D64" s="39"/>
      <c r="E64" s="122"/>
      <c r="F64" s="17">
        <f>$B$7+$B$63</f>
        <v>0.0762</v>
      </c>
      <c r="G64" s="44">
        <f t="shared" si="4"/>
        <v>3609.5149908298395</v>
      </c>
      <c r="H64" s="45">
        <f t="shared" si="4"/>
        <v>3963.3709577021705</v>
      </c>
      <c r="I64" s="46">
        <f t="shared" si="4"/>
        <v>4391.880082142504</v>
      </c>
      <c r="J64" s="11"/>
      <c r="K64" s="122"/>
      <c r="L64" s="17">
        <f>$B$7+$B$63</f>
        <v>0.0762</v>
      </c>
      <c r="M64" s="44">
        <f t="shared" si="5"/>
        <v>1731.623373098232</v>
      </c>
      <c r="N64" s="45">
        <f t="shared" si="5"/>
        <v>1901.3817102995217</v>
      </c>
      <c r="O64" s="46">
        <f t="shared" si="5"/>
        <v>2106.954042690957</v>
      </c>
    </row>
    <row r="65" spans="1:15" ht="15.75">
      <c r="A65" s="11" t="s">
        <v>28</v>
      </c>
      <c r="B65" s="39">
        <f>B10</f>
        <v>0.0025</v>
      </c>
      <c r="C65" s="39"/>
      <c r="D65" s="39"/>
      <c r="E65" s="11"/>
      <c r="F65" s="17"/>
      <c r="G65" s="29"/>
      <c r="H65" s="29"/>
      <c r="I65" s="29"/>
      <c r="J65" s="11"/>
      <c r="K65" s="11"/>
      <c r="L65" s="17"/>
      <c r="M65" s="29"/>
      <c r="N65" s="29"/>
      <c r="O65" s="29"/>
    </row>
    <row r="66" spans="1:15" ht="15.75">
      <c r="A66" s="11"/>
      <c r="B66" s="39"/>
      <c r="C66" s="39"/>
      <c r="D66" s="39"/>
      <c r="E66" s="96"/>
      <c r="F66" s="96"/>
      <c r="G66" s="96"/>
      <c r="H66" s="96"/>
      <c r="I66" s="96"/>
      <c r="J66" s="11"/>
      <c r="K66" s="11"/>
      <c r="L66" s="17"/>
      <c r="M66" s="29"/>
      <c r="N66" s="29"/>
      <c r="O66" s="29"/>
    </row>
    <row r="67" spans="1:15" ht="15.75" hidden="1">
      <c r="A67" s="11"/>
      <c r="B67" s="39"/>
      <c r="C67" s="39"/>
      <c r="D67" s="39"/>
      <c r="E67" s="96"/>
      <c r="F67" s="96"/>
      <c r="G67" s="105"/>
      <c r="H67" s="106"/>
      <c r="I67" s="106"/>
      <c r="J67" s="11"/>
      <c r="K67" s="11"/>
      <c r="L67" s="17"/>
      <c r="M67" s="29"/>
      <c r="N67" s="29"/>
      <c r="O67" s="29"/>
    </row>
    <row r="68" spans="1:15" ht="15.75" hidden="1">
      <c r="A68" s="11"/>
      <c r="B68" s="39"/>
      <c r="C68" s="39"/>
      <c r="D68" s="39"/>
      <c r="E68" s="96"/>
      <c r="F68" s="96"/>
      <c r="G68" s="102"/>
      <c r="H68" s="102"/>
      <c r="I68" s="102"/>
      <c r="J68" s="11"/>
      <c r="K68" s="11"/>
      <c r="L68" s="17"/>
      <c r="M68" s="29"/>
      <c r="N68" s="29"/>
      <c r="O68" s="29"/>
    </row>
    <row r="69" spans="1:15" ht="15.75" hidden="1">
      <c r="A69" s="11"/>
      <c r="B69" s="39"/>
      <c r="C69" s="39"/>
      <c r="D69" s="39"/>
      <c r="E69" s="124"/>
      <c r="F69" s="107"/>
      <c r="G69" s="108"/>
      <c r="H69" s="108"/>
      <c r="I69" s="108"/>
      <c r="J69" s="47"/>
      <c r="K69" s="47"/>
      <c r="L69" s="47"/>
      <c r="M69" s="29"/>
      <c r="N69" s="29"/>
      <c r="O69" s="29"/>
    </row>
    <row r="70" spans="1:15" ht="15.75" hidden="1">
      <c r="A70" s="11"/>
      <c r="B70" s="39"/>
      <c r="C70" s="39"/>
      <c r="D70" s="39"/>
      <c r="E70" s="124"/>
      <c r="F70" s="107"/>
      <c r="G70" s="108"/>
      <c r="H70" s="108"/>
      <c r="I70" s="108"/>
      <c r="J70" s="47"/>
      <c r="K70" s="47"/>
      <c r="L70" s="47"/>
      <c r="M70" s="29"/>
      <c r="N70" s="29"/>
      <c r="O70" s="29"/>
    </row>
    <row r="71" spans="1:15" ht="15.75" hidden="1">
      <c r="A71" s="11"/>
      <c r="B71" s="39"/>
      <c r="C71" s="39"/>
      <c r="D71" s="39"/>
      <c r="E71" s="124"/>
      <c r="F71" s="107"/>
      <c r="G71" s="108"/>
      <c r="H71" s="108"/>
      <c r="I71" s="108"/>
      <c r="J71" s="47"/>
      <c r="K71" s="47"/>
      <c r="L71" s="47"/>
      <c r="M71" s="29"/>
      <c r="N71" s="29"/>
      <c r="O71" s="29"/>
    </row>
    <row r="72" spans="1:15" ht="15.75">
      <c r="A72" s="11"/>
      <c r="B72" s="39"/>
      <c r="C72" s="39"/>
      <c r="D72" s="39"/>
      <c r="E72" s="61"/>
      <c r="F72" s="17"/>
      <c r="G72" s="48"/>
      <c r="H72" s="48"/>
      <c r="I72" s="48"/>
      <c r="J72" s="47"/>
      <c r="K72" s="47"/>
      <c r="L72" s="47"/>
      <c r="M72" s="29"/>
      <c r="N72" s="29"/>
      <c r="O72" s="29"/>
    </row>
    <row r="73" spans="1:15" ht="15.75">
      <c r="A73" s="11"/>
      <c r="B73" s="39"/>
      <c r="C73" s="39"/>
      <c r="D73" s="39"/>
      <c r="E73" s="61"/>
      <c r="F73" s="17"/>
      <c r="G73" s="48"/>
      <c r="H73" s="48"/>
      <c r="I73" s="48"/>
      <c r="J73" s="47"/>
      <c r="K73" s="47"/>
      <c r="L73" s="47"/>
      <c r="M73" s="29"/>
      <c r="N73" s="29"/>
      <c r="O73" s="29"/>
    </row>
    <row r="74" spans="1:15" ht="15.75">
      <c r="A74" s="11"/>
      <c r="B74" s="39"/>
      <c r="C74" s="39"/>
      <c r="D74" s="39"/>
      <c r="E74" s="61"/>
      <c r="F74" s="17"/>
      <c r="G74" s="48"/>
      <c r="H74" s="48"/>
      <c r="I74" s="48"/>
      <c r="J74" s="47"/>
      <c r="K74" s="47"/>
      <c r="L74" s="47"/>
      <c r="M74" s="29"/>
      <c r="N74" s="29"/>
      <c r="O74" s="29"/>
    </row>
    <row r="75" spans="1:15" ht="15.75">
      <c r="A75" s="11"/>
      <c r="B75" s="39"/>
      <c r="C75" s="39"/>
      <c r="D75" s="39"/>
      <c r="E75" s="61"/>
      <c r="F75" s="17"/>
      <c r="G75" s="48"/>
      <c r="H75" s="48"/>
      <c r="I75" s="48"/>
      <c r="J75" s="47"/>
      <c r="K75" s="47"/>
      <c r="L75" s="47"/>
      <c r="M75" s="29"/>
      <c r="N75" s="29"/>
      <c r="O75" s="29"/>
    </row>
    <row r="76" spans="1:15" ht="15.75">
      <c r="A76" s="11"/>
      <c r="B76" s="39"/>
      <c r="C76" s="39"/>
      <c r="D76" s="39"/>
      <c r="E76" s="61"/>
      <c r="F76" s="17"/>
      <c r="G76" s="48"/>
      <c r="H76" s="48"/>
      <c r="I76" s="48"/>
      <c r="J76" s="47"/>
      <c r="K76" s="47"/>
      <c r="L76" s="47"/>
      <c r="M76" s="29"/>
      <c r="N76" s="29"/>
      <c r="O76" s="29"/>
    </row>
    <row r="77" spans="1:15" ht="15.75">
      <c r="A77" s="11"/>
      <c r="B77" s="39"/>
      <c r="C77" s="39"/>
      <c r="D77" s="39"/>
      <c r="E77" s="61"/>
      <c r="F77" s="17"/>
      <c r="G77" s="48"/>
      <c r="H77" s="48"/>
      <c r="I77" s="48"/>
      <c r="J77" s="47"/>
      <c r="K77" s="47"/>
      <c r="L77" s="47"/>
      <c r="M77" s="29"/>
      <c r="N77" s="29"/>
      <c r="O77" s="29"/>
    </row>
    <row r="78" spans="1:15" ht="15.75">
      <c r="A78" s="11"/>
      <c r="B78" s="39"/>
      <c r="C78" s="39"/>
      <c r="D78" s="39"/>
      <c r="E78" s="61"/>
      <c r="F78" s="17"/>
      <c r="G78" s="48"/>
      <c r="H78" s="48"/>
      <c r="I78" s="48"/>
      <c r="J78" s="47"/>
      <c r="K78" s="47"/>
      <c r="L78" s="47"/>
      <c r="M78" s="29"/>
      <c r="N78" s="29"/>
      <c r="O78" s="29"/>
    </row>
    <row r="79" spans="1:15" ht="15.75">
      <c r="A79" s="11"/>
      <c r="B79" s="39"/>
      <c r="C79" s="39"/>
      <c r="D79" s="39"/>
      <c r="E79" s="61"/>
      <c r="F79" s="17"/>
      <c r="G79" s="48"/>
      <c r="H79" s="48"/>
      <c r="I79" s="48"/>
      <c r="J79" s="47"/>
      <c r="K79" s="47"/>
      <c r="L79" s="47"/>
      <c r="M79" s="29"/>
      <c r="N79" s="29"/>
      <c r="O79" s="29"/>
    </row>
    <row r="80" spans="2:15" ht="15.75">
      <c r="B80" s="39"/>
      <c r="C80" s="39"/>
      <c r="D80" s="39"/>
      <c r="E80" s="61"/>
      <c r="F80" s="17"/>
      <c r="G80" s="48"/>
      <c r="H80" s="48"/>
      <c r="I80" s="48"/>
      <c r="J80" s="47"/>
      <c r="K80" s="47"/>
      <c r="L80" s="47"/>
      <c r="M80" s="29"/>
      <c r="N80" s="29"/>
      <c r="O80" s="29"/>
    </row>
    <row r="81" spans="1:15" ht="15.75">
      <c r="A81" s="11"/>
      <c r="B81" s="39"/>
      <c r="C81" s="39"/>
      <c r="D81" s="39"/>
      <c r="E81" s="61"/>
      <c r="F81" s="17"/>
      <c r="G81" s="48"/>
      <c r="H81" s="48"/>
      <c r="I81" s="48"/>
      <c r="J81" s="47"/>
      <c r="K81" s="47"/>
      <c r="L81" s="47"/>
      <c r="M81" s="29"/>
      <c r="N81" s="29"/>
      <c r="O81" s="29"/>
    </row>
    <row r="82" spans="1:15" ht="15.75">
      <c r="A82" s="11"/>
      <c r="B82" s="39"/>
      <c r="C82" s="39"/>
      <c r="D82" s="39"/>
      <c r="E82" s="61"/>
      <c r="F82" s="17"/>
      <c r="G82" s="48"/>
      <c r="H82" s="48"/>
      <c r="I82" s="48"/>
      <c r="J82" s="47"/>
      <c r="K82" s="47"/>
      <c r="L82" s="47"/>
      <c r="M82" s="29"/>
      <c r="N82" s="29"/>
      <c r="O82" s="29"/>
    </row>
    <row r="83" spans="1:15" ht="15.75">
      <c r="A83" s="11"/>
      <c r="B83" s="39"/>
      <c r="C83" s="39"/>
      <c r="D83" s="39"/>
      <c r="E83" s="61"/>
      <c r="F83" s="17"/>
      <c r="G83" s="48"/>
      <c r="H83" s="48"/>
      <c r="I83" s="48"/>
      <c r="J83" s="47"/>
      <c r="K83" s="47"/>
      <c r="L83" s="47"/>
      <c r="M83" s="29"/>
      <c r="N83" s="29"/>
      <c r="O83" s="29"/>
    </row>
    <row r="84" spans="1:15" ht="15.75">
      <c r="A84" s="11"/>
      <c r="B84" s="39"/>
      <c r="C84" s="39"/>
      <c r="D84" s="39"/>
      <c r="E84" s="61"/>
      <c r="F84" s="17"/>
      <c r="G84" s="48"/>
      <c r="H84" s="48"/>
      <c r="I84" s="48"/>
      <c r="J84" s="47"/>
      <c r="K84" s="47"/>
      <c r="L84" s="47"/>
      <c r="M84" s="29"/>
      <c r="N84" s="29"/>
      <c r="O84" s="29"/>
    </row>
    <row r="85" spans="1:15" ht="15.75">
      <c r="A85" s="11"/>
      <c r="B85" s="39"/>
      <c r="C85" s="39"/>
      <c r="D85" s="39"/>
      <c r="E85" s="61"/>
      <c r="F85" s="17"/>
      <c r="G85" s="48"/>
      <c r="H85" s="48"/>
      <c r="I85" s="48"/>
      <c r="J85" s="47"/>
      <c r="K85" s="47"/>
      <c r="L85" s="47"/>
      <c r="M85" s="29"/>
      <c r="N85" s="29"/>
      <c r="O85" s="29"/>
    </row>
    <row r="86" spans="1:15" ht="15.75">
      <c r="A86" s="11"/>
      <c r="B86" s="39"/>
      <c r="C86" s="39"/>
      <c r="D86" s="39"/>
      <c r="E86" s="61"/>
      <c r="F86" s="17"/>
      <c r="G86" s="48"/>
      <c r="H86" s="48"/>
      <c r="I86" s="48"/>
      <c r="J86" s="47"/>
      <c r="K86" s="47"/>
      <c r="L86" s="47"/>
      <c r="M86" s="29"/>
      <c r="N86" s="29"/>
      <c r="O86" s="29"/>
    </row>
    <row r="87" spans="1:15" ht="15.75">
      <c r="A87" s="11"/>
      <c r="B87" s="39"/>
      <c r="C87" s="39"/>
      <c r="D87" s="39"/>
      <c r="E87" s="61"/>
      <c r="F87" s="17"/>
      <c r="G87" s="48"/>
      <c r="H87" s="48"/>
      <c r="I87" s="48"/>
      <c r="J87" s="47"/>
      <c r="K87" s="47"/>
      <c r="L87" s="47"/>
      <c r="M87" s="29"/>
      <c r="N87" s="29"/>
      <c r="O87" s="29"/>
    </row>
    <row r="88" spans="1:15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8">
      <c r="A89" s="118" t="s">
        <v>13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8.75">
      <c r="A91" s="11"/>
      <c r="B91" s="11"/>
      <c r="C91" s="11"/>
      <c r="D91" s="11"/>
      <c r="E91" s="49" t="str">
        <f>"Perpetual Growth Rate = "&amp;TEXT($G$61,"0.00%")</f>
        <v>Perpetual Growth Rate = 4.75%</v>
      </c>
      <c r="F91" s="18"/>
      <c r="G91" s="18"/>
      <c r="H91" s="11"/>
      <c r="I91" s="49" t="str">
        <f>"Perpetual Growth Rate = "&amp;TEXT($H$61,"0.00%")</f>
        <v>Perpetual Growth Rate = 5.00%</v>
      </c>
      <c r="J91" s="18"/>
      <c r="K91" s="18"/>
      <c r="L91" s="11"/>
      <c r="M91" s="49" t="str">
        <f>"Perpetual Growth Rate = "&amp;TEXT($I$61,"0.00%")</f>
        <v>Perpetual Growth Rate = 5.25%</v>
      </c>
      <c r="N91" s="18"/>
      <c r="O91" s="18"/>
    </row>
    <row r="92" spans="1:15" ht="15.75">
      <c r="A92" s="11" t="s">
        <v>0</v>
      </c>
      <c r="B92" s="11"/>
      <c r="C92" s="11"/>
      <c r="D92" s="11"/>
      <c r="E92" s="17">
        <f>$B$7-$B$63</f>
        <v>0.0662</v>
      </c>
      <c r="F92" s="17">
        <f>$B$7</f>
        <v>0.0712</v>
      </c>
      <c r="G92" s="17">
        <f>$B$7+$B$63</f>
        <v>0.0762</v>
      </c>
      <c r="H92" s="11"/>
      <c r="I92" s="17">
        <f>$B$7-$B$63</f>
        <v>0.0662</v>
      </c>
      <c r="J92" s="17">
        <f>$B$7</f>
        <v>0.0712</v>
      </c>
      <c r="K92" s="17">
        <f>$B$7+$B$63</f>
        <v>0.0762</v>
      </c>
      <c r="L92" s="11"/>
      <c r="M92" s="17">
        <f>$B$7-$B$63</f>
        <v>0.0662</v>
      </c>
      <c r="N92" s="17">
        <f>$B$7</f>
        <v>0.0712</v>
      </c>
      <c r="O92" s="17">
        <f>$B$7+$B$63</f>
        <v>0.0762</v>
      </c>
    </row>
    <row r="93" spans="1:15" ht="15.75">
      <c r="A93" s="30" t="s">
        <v>26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>
      <c r="A94" s="11" t="s">
        <v>15</v>
      </c>
      <c r="B94" s="11"/>
      <c r="C94" s="11"/>
      <c r="D94" s="11"/>
      <c r="E94" s="32">
        <f>$E$53</f>
        <v>27.453839406839208</v>
      </c>
      <c r="F94" s="32">
        <f>$E$54</f>
        <v>22.9080085273498</v>
      </c>
      <c r="G94" s="32">
        <f>$E$55</f>
        <v>18.602816387347392</v>
      </c>
      <c r="H94" s="11"/>
      <c r="I94" s="32">
        <f>$E$53</f>
        <v>27.453839406839208</v>
      </c>
      <c r="J94" s="32">
        <f>$E$54</f>
        <v>22.9080085273498</v>
      </c>
      <c r="K94" s="32">
        <f>$E$55</f>
        <v>18.602816387347392</v>
      </c>
      <c r="L94" s="11"/>
      <c r="M94" s="32">
        <f>$E$53</f>
        <v>27.453839406839208</v>
      </c>
      <c r="N94" s="32">
        <f>$E$54</f>
        <v>22.9080085273498</v>
      </c>
      <c r="O94" s="32">
        <f>$E$55</f>
        <v>18.602816387347392</v>
      </c>
    </row>
    <row r="95" spans="1:15" ht="16.5" thickBot="1">
      <c r="A95" s="11" t="s">
        <v>16</v>
      </c>
      <c r="B95" s="11"/>
      <c r="C95" s="11"/>
      <c r="D95" s="11"/>
      <c r="E95" s="50">
        <f>M62</f>
        <v>2917.7303666643515</v>
      </c>
      <c r="F95" s="50">
        <f>M63</f>
        <v>2196.925767371532</v>
      </c>
      <c r="G95" s="50">
        <f>M64</f>
        <v>1731.623373098232</v>
      </c>
      <c r="H95" s="11"/>
      <c r="I95" s="50">
        <f>N62</f>
        <v>3376.035578505822</v>
      </c>
      <c r="J95" s="50">
        <f>N63</f>
        <v>2461.8587707047586</v>
      </c>
      <c r="K95" s="50">
        <f>N64</f>
        <v>1901.3817102995217</v>
      </c>
      <c r="L95" s="11"/>
      <c r="M95" s="50">
        <f>O62</f>
        <v>4001.605466201844</v>
      </c>
      <c r="N95" s="50">
        <f>O63</f>
        <v>2797.6294754639825</v>
      </c>
      <c r="O95" s="50">
        <f>O64</f>
        <v>2106.954042690957</v>
      </c>
    </row>
    <row r="96" spans="1:15" ht="16.5" thickBot="1">
      <c r="A96" s="67" t="s">
        <v>24</v>
      </c>
      <c r="B96" s="68"/>
      <c r="C96" s="68"/>
      <c r="D96" s="68"/>
      <c r="E96" s="69">
        <f>E94+E95</f>
        <v>2945.1842060711906</v>
      </c>
      <c r="F96" s="69">
        <f>F94+F95</f>
        <v>2219.833775898882</v>
      </c>
      <c r="G96" s="69">
        <f>G94+G95</f>
        <v>1750.2261894855794</v>
      </c>
      <c r="H96" s="68"/>
      <c r="I96" s="69">
        <f>I94+I95</f>
        <v>3403.489417912661</v>
      </c>
      <c r="J96" s="69">
        <f>J94+J95</f>
        <v>2484.7667792321085</v>
      </c>
      <c r="K96" s="69">
        <f>K94+K95</f>
        <v>1919.9845266868692</v>
      </c>
      <c r="L96" s="68"/>
      <c r="M96" s="69">
        <f>M94+M95</f>
        <v>4029.059305608683</v>
      </c>
      <c r="N96" s="69">
        <f>N94+N95</f>
        <v>2820.5374839913325</v>
      </c>
      <c r="O96" s="70">
        <f>O94+O95</f>
        <v>2125.5568590783046</v>
      </c>
    </row>
    <row r="97" spans="1:15" ht="15.75">
      <c r="A97" s="71" t="s">
        <v>32</v>
      </c>
      <c r="B97" s="71"/>
      <c r="C97" s="71"/>
      <c r="D97" s="71"/>
      <c r="E97" s="72">
        <f>E96/$B$108</f>
        <v>28.5940214181669</v>
      </c>
      <c r="F97" s="72">
        <f aca="true" t="shared" si="6" ref="F97:O97">F96/$B$108</f>
        <v>21.55178423202798</v>
      </c>
      <c r="G97" s="72">
        <f t="shared" si="6"/>
        <v>16.992487276559025</v>
      </c>
      <c r="H97" s="72"/>
      <c r="I97" s="72">
        <f t="shared" si="6"/>
        <v>33.04358658167632</v>
      </c>
      <c r="J97" s="72">
        <f t="shared" si="6"/>
        <v>24.123949312933092</v>
      </c>
      <c r="K97" s="72">
        <f t="shared" si="6"/>
        <v>18.64062647268805</v>
      </c>
      <c r="L97" s="72"/>
      <c r="M97" s="72">
        <f>M96/$B$108</f>
        <v>39.117080636977505</v>
      </c>
      <c r="N97" s="72">
        <f t="shared" si="6"/>
        <v>27.383859067877015</v>
      </c>
      <c r="O97" s="72">
        <f t="shared" si="6"/>
        <v>20.636474359983538</v>
      </c>
    </row>
    <row r="98" spans="1:15" ht="15.75" hidden="1">
      <c r="A98" s="30" t="s">
        <v>27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 hidden="1">
      <c r="A99" s="11" t="s">
        <v>17</v>
      </c>
      <c r="B99" s="11"/>
      <c r="C99" s="11"/>
      <c r="D99" s="11"/>
      <c r="E99" s="51">
        <f aca="true" t="shared" si="7" ref="E99:G100">E94/E$96</f>
        <v>0.00932160350114807</v>
      </c>
      <c r="F99" s="51">
        <f t="shared" si="7"/>
        <v>0.010319695454707465</v>
      </c>
      <c r="G99" s="51">
        <f t="shared" si="7"/>
        <v>0.010628807007404609</v>
      </c>
      <c r="H99" s="51"/>
      <c r="I99" s="51">
        <f aca="true" t="shared" si="8" ref="I99:K100">I94/I$96</f>
        <v>0.008066380128097028</v>
      </c>
      <c r="J99" s="51">
        <f t="shared" si="8"/>
        <v>0.00921937974976842</v>
      </c>
      <c r="K99" s="51">
        <f t="shared" si="8"/>
        <v>0.009689044952590563</v>
      </c>
      <c r="L99" s="51"/>
      <c r="M99" s="51">
        <f aca="true" t="shared" si="9" ref="M99:O100">M94/M$96</f>
        <v>0.006813957632398679</v>
      </c>
      <c r="N99" s="51">
        <f t="shared" si="9"/>
        <v>0.008121859275889771</v>
      </c>
      <c r="O99" s="51">
        <f t="shared" si="9"/>
        <v>0.008751973069030977</v>
      </c>
    </row>
    <row r="100" spans="1:15" ht="15.75" hidden="1">
      <c r="A100" s="11" t="s">
        <v>18</v>
      </c>
      <c r="B100" s="11"/>
      <c r="C100" s="11"/>
      <c r="D100" s="11"/>
      <c r="E100" s="51">
        <f t="shared" si="7"/>
        <v>0.990678396498852</v>
      </c>
      <c r="F100" s="51">
        <f t="shared" si="7"/>
        <v>0.9896803045452924</v>
      </c>
      <c r="G100" s="51">
        <f t="shared" si="7"/>
        <v>0.9893711929925953</v>
      </c>
      <c r="H100" s="51"/>
      <c r="I100" s="51">
        <f t="shared" si="8"/>
        <v>0.991933619871903</v>
      </c>
      <c r="J100" s="51">
        <f t="shared" si="8"/>
        <v>0.9907806202502315</v>
      </c>
      <c r="K100" s="51">
        <f t="shared" si="8"/>
        <v>0.9903109550474094</v>
      </c>
      <c r="L100" s="51"/>
      <c r="M100" s="51">
        <f t="shared" si="9"/>
        <v>0.9931860423676013</v>
      </c>
      <c r="N100" s="51">
        <f t="shared" si="9"/>
        <v>0.9918781407241102</v>
      </c>
      <c r="O100" s="51">
        <f t="shared" si="9"/>
        <v>0.9912480269309689</v>
      </c>
    </row>
    <row r="101" spans="1:15" ht="15.75" hidden="1">
      <c r="A101" s="30" t="s">
        <v>19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 hidden="1">
      <c r="A102" s="11" t="str">
        <f>"Company Value / "&amp;TEXT(E15,"yyyy")&amp;" Revenue"</f>
        <v>Company Value / 2019 Revenue</v>
      </c>
      <c r="B102" s="11"/>
      <c r="C102" s="11"/>
      <c r="D102" s="11"/>
      <c r="E102" s="47" t="e">
        <f>E96/$E$16</f>
        <v>#DIV/0!</v>
      </c>
      <c r="F102" s="47" t="e">
        <f>F96/$E$16</f>
        <v>#DIV/0!</v>
      </c>
      <c r="G102" s="47" t="e">
        <f>G96/$E$16</f>
        <v>#DIV/0!</v>
      </c>
      <c r="H102" s="47"/>
      <c r="I102" s="47" t="e">
        <f>I96/$E$16</f>
        <v>#DIV/0!</v>
      </c>
      <c r="J102" s="47" t="e">
        <f>J96/$E$16</f>
        <v>#DIV/0!</v>
      </c>
      <c r="K102" s="47" t="e">
        <f>K96/$E$16</f>
        <v>#DIV/0!</v>
      </c>
      <c r="L102" s="47"/>
      <c r="M102" s="47" t="e">
        <f>M96/$E$16</f>
        <v>#DIV/0!</v>
      </c>
      <c r="N102" s="47" t="e">
        <f>N96/$E$16</f>
        <v>#DIV/0!</v>
      </c>
      <c r="O102" s="47" t="e">
        <f>O96/$E$16</f>
        <v>#DIV/0!</v>
      </c>
    </row>
    <row r="103" spans="1:15" ht="15.75" hidden="1">
      <c r="A103" s="11" t="str">
        <f>"Company Value / "&amp;TEXT(F15,"yyyy")&amp;" Revenue"</f>
        <v>Company Value / 2020 Revenue</v>
      </c>
      <c r="B103" s="11"/>
      <c r="C103" s="11"/>
      <c r="D103" s="11"/>
      <c r="E103" s="47" t="e">
        <f>E96/$F$16</f>
        <v>#DIV/0!</v>
      </c>
      <c r="F103" s="47" t="e">
        <f>F96/$F$16</f>
        <v>#DIV/0!</v>
      </c>
      <c r="G103" s="47" t="e">
        <f>G96/$F$16</f>
        <v>#DIV/0!</v>
      </c>
      <c r="H103" s="47"/>
      <c r="I103" s="47" t="e">
        <f>I96/$F$16</f>
        <v>#DIV/0!</v>
      </c>
      <c r="J103" s="47" t="e">
        <f>J96/$F$16</f>
        <v>#DIV/0!</v>
      </c>
      <c r="K103" s="47" t="e">
        <f>K96/$F$16</f>
        <v>#DIV/0!</v>
      </c>
      <c r="L103" s="47"/>
      <c r="M103" s="47" t="e">
        <f>M96/$F$16</f>
        <v>#DIV/0!</v>
      </c>
      <c r="N103" s="47" t="e">
        <f>N96/$F$16</f>
        <v>#DIV/0!</v>
      </c>
      <c r="O103" s="47" t="e">
        <f>O96/$F$16</f>
        <v>#DIV/0!</v>
      </c>
    </row>
    <row r="104" spans="1:15" ht="15.75" hidden="1">
      <c r="A104" s="11" t="str">
        <f>"Company Value / "&amp;TEXT(E15,"yyyy")&amp;" EBITDA"</f>
        <v>Company Value / 2019 EBITDA</v>
      </c>
      <c r="B104" s="11"/>
      <c r="C104" s="11"/>
      <c r="D104" s="11"/>
      <c r="E104" s="47" t="e">
        <f>E96/#REF!</f>
        <v>#REF!</v>
      </c>
      <c r="F104" s="47" t="e">
        <f>F96/#REF!</f>
        <v>#REF!</v>
      </c>
      <c r="G104" s="47" t="e">
        <f>G96/#REF!</f>
        <v>#REF!</v>
      </c>
      <c r="H104" s="47"/>
      <c r="I104" s="47" t="e">
        <f>I96/#REF!</f>
        <v>#REF!</v>
      </c>
      <c r="J104" s="47" t="e">
        <f>J96/#REF!</f>
        <v>#REF!</v>
      </c>
      <c r="K104" s="47" t="e">
        <f>K96/#REF!</f>
        <v>#REF!</v>
      </c>
      <c r="L104" s="47"/>
      <c r="M104" s="47" t="e">
        <f>M96/#REF!</f>
        <v>#REF!</v>
      </c>
      <c r="N104" s="47" t="e">
        <f>N96/#REF!</f>
        <v>#REF!</v>
      </c>
      <c r="O104" s="47" t="e">
        <f>O96/#REF!</f>
        <v>#REF!</v>
      </c>
    </row>
    <row r="105" spans="1:15" ht="15.75" hidden="1">
      <c r="A105" s="11" t="str">
        <f>"Company Value / "&amp;TEXT(F15,"yyyy")&amp;" EBITDA"</f>
        <v>Company Value / 2020 EBITDA</v>
      </c>
      <c r="B105" s="11"/>
      <c r="C105" s="11"/>
      <c r="D105" s="11"/>
      <c r="E105" s="47" t="e">
        <f>E96/#REF!</f>
        <v>#REF!</v>
      </c>
      <c r="F105" s="47" t="e">
        <f>F96/#REF!</f>
        <v>#REF!</v>
      </c>
      <c r="G105" s="47" t="e">
        <f>G96/#REF!</f>
        <v>#REF!</v>
      </c>
      <c r="H105" s="47"/>
      <c r="I105" s="47" t="e">
        <f>I96/#REF!</f>
        <v>#REF!</v>
      </c>
      <c r="J105" s="47" t="e">
        <f>J96/#REF!</f>
        <v>#REF!</v>
      </c>
      <c r="K105" s="47" t="e">
        <f>K96/#REF!</f>
        <v>#REF!</v>
      </c>
      <c r="L105" s="47"/>
      <c r="M105" s="47" t="e">
        <f>M96/#REF!</f>
        <v>#REF!</v>
      </c>
      <c r="N105" s="47" t="e">
        <f>N96/#REF!</f>
        <v>#REF!</v>
      </c>
      <c r="O105" s="47" t="e">
        <f>O96/#REF!</f>
        <v>#REF!</v>
      </c>
    </row>
    <row r="106" spans="1:15" s="9" customFormat="1" ht="15.75" hidden="1">
      <c r="A106" s="52" t="s">
        <v>25</v>
      </c>
      <c r="B106" s="52"/>
      <c r="C106" s="52"/>
      <c r="D106" s="52"/>
      <c r="E106" s="53">
        <f>G69</f>
        <v>0</v>
      </c>
      <c r="F106" s="53">
        <f>G70</f>
        <v>0</v>
      </c>
      <c r="G106" s="53">
        <f>G71</f>
        <v>0</v>
      </c>
      <c r="H106" s="53"/>
      <c r="I106" s="53">
        <f>H69</f>
        <v>0</v>
      </c>
      <c r="J106" s="53">
        <f>H70</f>
        <v>0</v>
      </c>
      <c r="K106" s="53">
        <f>H71</f>
        <v>0</v>
      </c>
      <c r="L106" s="53"/>
      <c r="M106" s="53">
        <f>I69</f>
        <v>0</v>
      </c>
      <c r="N106" s="53">
        <f>I70</f>
        <v>0</v>
      </c>
      <c r="O106" s="53">
        <f>I71</f>
        <v>0</v>
      </c>
    </row>
    <row r="107" spans="1:15" ht="15.75">
      <c r="A107" s="11"/>
      <c r="B107" s="11"/>
      <c r="C107" s="11"/>
      <c r="D107" s="11"/>
      <c r="E107" s="47"/>
      <c r="F107" s="47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6" s="4" customFormat="1" ht="18">
      <c r="A108" s="66" t="s">
        <v>35</v>
      </c>
      <c r="B108" s="109">
        <v>103</v>
      </c>
      <c r="C108" s="20"/>
      <c r="D108" s="20"/>
      <c r="E108" s="21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"/>
    </row>
    <row r="109" spans="1:16" s="4" customFormat="1" ht="18">
      <c r="A109" s="76" t="s">
        <v>42</v>
      </c>
      <c r="B109" s="77">
        <v>30.45</v>
      </c>
      <c r="C109" s="20"/>
      <c r="D109" s="117"/>
      <c r="E109" s="21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"/>
    </row>
    <row r="110" spans="1:16" s="4" customFormat="1" ht="18">
      <c r="A110" s="76" t="s">
        <v>34</v>
      </c>
      <c r="B110" s="78">
        <f>(J97-B109)/B109</f>
        <v>-0.20775207510892962</v>
      </c>
      <c r="C110" s="20"/>
      <c r="D110" s="91">
        <f>J97</f>
        <v>24.123949312933092</v>
      </c>
      <c r="E110" s="21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"/>
    </row>
    <row r="111" spans="1:16" s="4" customFormat="1" ht="18">
      <c r="A111" s="76" t="s">
        <v>38</v>
      </c>
      <c r="B111" s="78">
        <f>(M97-B109)/B109</f>
        <v>0.2846331900485224</v>
      </c>
      <c r="C111" s="20"/>
      <c r="D111" s="91">
        <f>M97</f>
        <v>39.117080636977505</v>
      </c>
      <c r="E111" s="21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"/>
    </row>
    <row r="112" spans="1:4" ht="18">
      <c r="A112" s="76" t="s">
        <v>39</v>
      </c>
      <c r="B112" s="92">
        <f>(G97-B109)/B109</f>
        <v>-0.4419544408355</v>
      </c>
      <c r="D112" s="94">
        <f>G97</f>
        <v>16.992487276559025</v>
      </c>
    </row>
    <row r="113" ht="15.75">
      <c r="D113" s="93"/>
    </row>
    <row r="115" spans="1:5" ht="18">
      <c r="A115" s="121"/>
      <c r="E115" s="95"/>
    </row>
    <row r="116" spans="1:2" ht="18">
      <c r="A116" s="119"/>
      <c r="B116" s="120"/>
    </row>
    <row r="117" spans="1:2" ht="18">
      <c r="A117" s="119"/>
      <c r="B117" s="120"/>
    </row>
    <row r="118" spans="1:2" ht="18">
      <c r="A118" s="119"/>
      <c r="B118" s="120"/>
    </row>
  </sheetData>
  <sheetProtection/>
  <mergeCells count="17">
    <mergeCell ref="O8:O9"/>
    <mergeCell ref="I8:I9"/>
    <mergeCell ref="J8:J9"/>
    <mergeCell ref="K8:K9"/>
    <mergeCell ref="L8:L9"/>
    <mergeCell ref="M8:M9"/>
    <mergeCell ref="N8:N9"/>
    <mergeCell ref="E62:E64"/>
    <mergeCell ref="K62:K64"/>
    <mergeCell ref="B20:D20"/>
    <mergeCell ref="E69:E71"/>
    <mergeCell ref="E14:O14"/>
    <mergeCell ref="N3:Q3"/>
    <mergeCell ref="E8:E9"/>
    <mergeCell ref="F8:F9"/>
    <mergeCell ref="G8:G9"/>
    <mergeCell ref="H8:H9"/>
  </mergeCells>
  <printOptions/>
  <pageMargins left="0.75" right="0.75" top="1" bottom="1" header="0.5" footer="0.5"/>
  <pageSetup fitToHeight="0" fitToWidth="0" orientation="landscape" scale="24"/>
  <rowBreaks count="1" manualBreakCount="1">
    <brk id="4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Firmex</dc:creator>
  <cp:keywords/>
  <dc:description/>
  <cp:lastModifiedBy>Adnan Bajrami</cp:lastModifiedBy>
  <cp:lastPrinted>2020-06-16T06:27:22Z</cp:lastPrinted>
  <dcterms:created xsi:type="dcterms:W3CDTF">2013-10-08T17:35:44Z</dcterms:created>
  <dcterms:modified xsi:type="dcterms:W3CDTF">2021-03-01T07:41:31Z</dcterms:modified>
  <cp:category/>
  <cp:version/>
  <cp:contentType/>
  <cp:contentStatus/>
</cp:coreProperties>
</file>