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ergebajrami/Downloads/"/>
    </mc:Choice>
  </mc:AlternateContent>
  <xr:revisionPtr revIDLastSave="0" documentId="13_ncr:1_{0FE7EB44-A09F-704E-81A9-E04479C02FE4}" xr6:coauthVersionLast="45" xr6:coauthVersionMax="45" xr10:uidLastSave="{00000000-0000-0000-0000-000000000000}"/>
  <bookViews>
    <workbookView xWindow="0" yWindow="460" windowWidth="25600" windowHeight="14520" tabRatio="500" xr2:uid="{00000000-000D-0000-FFFF-FFFF00000000}"/>
  </bookViews>
  <sheets>
    <sheet name="DC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G16" i="1" s="1"/>
  <c r="F62" i="1" l="1"/>
  <c r="E19" i="1"/>
  <c r="H16" i="1"/>
  <c r="I16" i="1" s="1"/>
  <c r="J16" i="1" s="1"/>
  <c r="J19" i="1" l="1"/>
  <c r="K16" i="1"/>
  <c r="G19" i="1"/>
  <c r="I19" i="1"/>
  <c r="H19" i="1"/>
  <c r="F19" i="1"/>
  <c r="F48" i="1" s="1"/>
  <c r="B64" i="1"/>
  <c r="B62" i="1"/>
  <c r="A48" i="1" l="1"/>
  <c r="A49" i="1"/>
  <c r="E15" i="1"/>
  <c r="F15" i="1" s="1"/>
  <c r="F63" i="1"/>
  <c r="B65" i="1"/>
  <c r="M61" i="1" s="1"/>
  <c r="L63" i="1"/>
  <c r="A50" i="1"/>
  <c r="B63" i="1"/>
  <c r="N92" i="1"/>
  <c r="J92" i="1"/>
  <c r="F92" i="1"/>
  <c r="A55" i="1"/>
  <c r="A54" i="1"/>
  <c r="A53" i="1"/>
  <c r="N61" i="1"/>
  <c r="M92" i="1" l="1"/>
  <c r="G61" i="1"/>
  <c r="E91" i="1" s="1"/>
  <c r="I61" i="1"/>
  <c r="G92" i="1"/>
  <c r="K92" i="1"/>
  <c r="H61" i="1"/>
  <c r="I91" i="1" s="1"/>
  <c r="A102" i="1"/>
  <c r="A104" i="1"/>
  <c r="L62" i="1"/>
  <c r="F64" i="1"/>
  <c r="I92" i="1"/>
  <c r="L64" i="1"/>
  <c r="O61" i="1"/>
  <c r="E92" i="1"/>
  <c r="O92" i="1"/>
  <c r="A103" i="1"/>
  <c r="G15" i="1"/>
  <c r="H15" i="1" s="1"/>
  <c r="I15" i="1" s="1"/>
  <c r="J15" i="1" s="1"/>
  <c r="K15" i="1" s="1"/>
  <c r="L15" i="1" s="1"/>
  <c r="M15" i="1" s="1"/>
  <c r="A105" i="1"/>
  <c r="M91" i="1" l="1"/>
  <c r="M46" i="1"/>
  <c r="N15" i="1"/>
  <c r="O15" i="1" l="1"/>
  <c r="N46" i="1"/>
  <c r="O46" i="1" l="1"/>
  <c r="B61" i="1" l="1"/>
  <c r="F50" i="1" l="1"/>
  <c r="F49" i="1"/>
  <c r="G50" i="1"/>
  <c r="G49" i="1" l="1"/>
  <c r="G48" i="1"/>
  <c r="J50" i="1" l="1"/>
  <c r="I49" i="1"/>
  <c r="J49" i="1"/>
  <c r="H49" i="1"/>
  <c r="H48" i="1"/>
  <c r="H50" i="1"/>
  <c r="I50" i="1" l="1"/>
  <c r="I48" i="1"/>
  <c r="J48" i="1"/>
  <c r="K19" i="1" l="1"/>
  <c r="L16" i="1" l="1"/>
  <c r="L19" i="1" s="1"/>
  <c r="M16" i="1" l="1"/>
  <c r="M19" i="1" s="1"/>
  <c r="N16" i="1" l="1"/>
  <c r="N19" i="1" s="1"/>
  <c r="O16" i="1" l="1"/>
  <c r="O19" i="1" s="1"/>
  <c r="L49" i="1" l="1"/>
  <c r="L50" i="1"/>
  <c r="L48" i="1"/>
  <c r="K50" i="1"/>
  <c r="K49" i="1"/>
  <c r="K48" i="1"/>
  <c r="M48" i="1" l="1"/>
  <c r="M49" i="1"/>
  <c r="M50" i="1"/>
  <c r="N50" i="1"/>
  <c r="N48" i="1"/>
  <c r="N49" i="1"/>
  <c r="O50" i="1" l="1"/>
  <c r="E55" i="1" s="1"/>
  <c r="O48" i="1"/>
  <c r="E53" i="1" s="1"/>
  <c r="E94" i="1" s="1"/>
  <c r="B60" i="1"/>
  <c r="G62" i="1" s="1"/>
  <c r="M62" i="1" s="1"/>
  <c r="E95" i="1" s="1"/>
  <c r="O49" i="1"/>
  <c r="E54" i="1" s="1"/>
  <c r="O94" i="1" l="1"/>
  <c r="K94" i="1"/>
  <c r="G94" i="1"/>
  <c r="H63" i="1"/>
  <c r="I64" i="1"/>
  <c r="G63" i="1"/>
  <c r="I63" i="1"/>
  <c r="H64" i="1"/>
  <c r="G64" i="1"/>
  <c r="H62" i="1"/>
  <c r="N62" i="1" s="1"/>
  <c r="I62" i="1"/>
  <c r="I94" i="1"/>
  <c r="M94" i="1"/>
  <c r="J94" i="1"/>
  <c r="F94" i="1"/>
  <c r="N94" i="1"/>
  <c r="O64" i="1" l="1"/>
  <c r="O95" i="1" s="1"/>
  <c r="O106" i="1"/>
  <c r="O62" i="1"/>
  <c r="M95" i="1" s="1"/>
  <c r="M96" i="1" s="1"/>
  <c r="M99" i="1" s="1"/>
  <c r="M106" i="1"/>
  <c r="J106" i="1"/>
  <c r="N63" i="1"/>
  <c r="J95" i="1" s="1"/>
  <c r="I95" i="1"/>
  <c r="I106" i="1"/>
  <c r="E96" i="1"/>
  <c r="E99" i="1" s="1"/>
  <c r="E106" i="1"/>
  <c r="K106" i="1"/>
  <c r="N64" i="1"/>
  <c r="K95" i="1" s="1"/>
  <c r="K96" i="1" s="1"/>
  <c r="O96" i="1"/>
  <c r="O99" i="1" s="1"/>
  <c r="N106" i="1"/>
  <c r="O63" i="1"/>
  <c r="N95" i="1" s="1"/>
  <c r="N96" i="1" s="1"/>
  <c r="N99" i="1" s="1"/>
  <c r="M64" i="1"/>
  <c r="G95" i="1" s="1"/>
  <c r="G96" i="1" s="1"/>
  <c r="G99" i="1" s="1"/>
  <c r="G106" i="1"/>
  <c r="F106" i="1"/>
  <c r="M63" i="1"/>
  <c r="F95" i="1" s="1"/>
  <c r="J96" i="1" l="1"/>
  <c r="J99" i="1" s="1"/>
  <c r="K102" i="1"/>
  <c r="K103" i="1"/>
  <c r="K97" i="1"/>
  <c r="K105" i="1"/>
  <c r="K104" i="1"/>
  <c r="K99" i="1"/>
  <c r="G100" i="1"/>
  <c r="O100" i="1"/>
  <c r="N104" i="1"/>
  <c r="N105" i="1"/>
  <c r="N102" i="1"/>
  <c r="N97" i="1"/>
  <c r="N103" i="1"/>
  <c r="J97" i="1"/>
  <c r="J104" i="1"/>
  <c r="J102" i="1"/>
  <c r="J105" i="1"/>
  <c r="G103" i="1"/>
  <c r="G104" i="1"/>
  <c r="G102" i="1"/>
  <c r="G97" i="1"/>
  <c r="G105" i="1"/>
  <c r="N100" i="1"/>
  <c r="O104" i="1"/>
  <c r="O97" i="1"/>
  <c r="O102" i="1"/>
  <c r="O103" i="1"/>
  <c r="O105" i="1"/>
  <c r="I96" i="1"/>
  <c r="I100" i="1" s="1"/>
  <c r="K100" i="1"/>
  <c r="E103" i="1"/>
  <c r="E105" i="1"/>
  <c r="E104" i="1"/>
  <c r="E97" i="1"/>
  <c r="E102" i="1"/>
  <c r="E100" i="1"/>
  <c r="M102" i="1"/>
  <c r="M97" i="1"/>
  <c r="M104" i="1"/>
  <c r="M105" i="1"/>
  <c r="M103" i="1"/>
  <c r="M100" i="1"/>
  <c r="F96" i="1"/>
  <c r="J103" i="1" l="1"/>
  <c r="J100" i="1"/>
  <c r="D112" i="1"/>
  <c r="B112" i="1"/>
  <c r="D110" i="1"/>
  <c r="B110" i="1"/>
  <c r="F104" i="1"/>
  <c r="F105" i="1"/>
  <c r="F103" i="1"/>
  <c r="F97" i="1"/>
  <c r="F102" i="1"/>
  <c r="F99" i="1"/>
  <c r="I97" i="1"/>
  <c r="I102" i="1"/>
  <c r="I103" i="1"/>
  <c r="I105" i="1"/>
  <c r="I104" i="1"/>
  <c r="I99" i="1"/>
  <c r="D111" i="1"/>
  <c r="B111" i="1"/>
  <c r="F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Wright</author>
    <author>Edward Stephen</author>
  </authors>
  <commentList>
    <comment ref="B7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The weighted average cost of capital to that specific business.
</t>
        </r>
      </text>
    </comment>
    <comment ref="B8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This input drives +/- sensitvity analysis below
</t>
        </r>
      </text>
    </comment>
    <comment ref="B9" authorId="1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The long term, steady state growth of the company
</t>
        </r>
      </text>
    </comment>
    <comment ref="B10" authorId="0" shapeId="0" xr:uid="{00000000-0006-0000-0000-000004000000}">
      <text>
        <r>
          <rPr>
            <sz val="9"/>
            <color rgb="FF000000"/>
            <rFont val="Tahoma"/>
            <family val="2"/>
          </rPr>
          <t xml:space="preserve">This input drives +/- sensitvity analysis below
</t>
        </r>
      </text>
    </comment>
  </commentList>
</comments>
</file>

<file path=xl/sharedStrings.xml><?xml version="1.0" encoding="utf-8"?>
<sst xmlns="http://schemas.openxmlformats.org/spreadsheetml/2006/main" count="51" uniqueCount="42">
  <si>
    <t>Discount Rate</t>
  </si>
  <si>
    <t>Net Revenue</t>
  </si>
  <si>
    <t>Discount Period</t>
  </si>
  <si>
    <t>% growth</t>
  </si>
  <si>
    <t>% of sales</t>
  </si>
  <si>
    <t>--</t>
  </si>
  <si>
    <t>Tax Rate</t>
  </si>
  <si>
    <t>Cumulative Discounted FCF over Projection Period</t>
  </si>
  <si>
    <t>Terminal Value Calculation</t>
  </si>
  <si>
    <t>Terminal Year FCF</t>
  </si>
  <si>
    <t>Terminal Value ("TV")</t>
  </si>
  <si>
    <t>Present Value of TV</t>
  </si>
  <si>
    <t>Terminal Year Discount Period</t>
  </si>
  <si>
    <t>Discounted Cash Flow Summary</t>
  </si>
  <si>
    <t>Perpetual Growth Rate</t>
  </si>
  <si>
    <t>FCF over Projection Period</t>
  </si>
  <si>
    <t>Terminus</t>
  </si>
  <si>
    <t>% Value in Projection Period</t>
  </si>
  <si>
    <t>% Value in Terminus</t>
  </si>
  <si>
    <t>Implied Valuation Multiples</t>
  </si>
  <si>
    <t>Projection Period Calculation</t>
  </si>
  <si>
    <t>Operating Summary</t>
  </si>
  <si>
    <t>Discounted FCF, Assuming Discount Rates as Shown</t>
  </si>
  <si>
    <t>Inputs</t>
  </si>
  <si>
    <t>Company Value</t>
  </si>
  <si>
    <t>Implied Terminal EBITDA Multiple</t>
  </si>
  <si>
    <t>Company Value Calculation</t>
  </si>
  <si>
    <t>Company Value Attribution</t>
  </si>
  <si>
    <t>Perpetual Growth Rate Change</t>
  </si>
  <si>
    <t>Discount Rate Change</t>
  </si>
  <si>
    <t xml:space="preserve">Free Cash Flow </t>
  </si>
  <si>
    <t>12-Month Period Ending</t>
  </si>
  <si>
    <t>Price Per Share</t>
  </si>
  <si>
    <t>Created by CUBE</t>
  </si>
  <si>
    <t>Base Case Upside</t>
  </si>
  <si>
    <t>Shares Outstanding (Millions)</t>
  </si>
  <si>
    <t>Best Case Upside</t>
  </si>
  <si>
    <t>Fiscal Year End Date</t>
  </si>
  <si>
    <t>Weak Case Downside</t>
  </si>
  <si>
    <t>E million, unless otherwise noted</t>
  </si>
  <si>
    <t>GNOG Simplified Discounted Cash Flow Analysis</t>
  </si>
  <si>
    <t>Current Price (8/25/20)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</si>
</sst>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"/>
    <numFmt numFmtId="165" formatCode="0.0%_);\(0.0%\)"/>
    <numFmt numFmtId="166" formatCode="0.0\x_);\(0.0\x\)"/>
    <numFmt numFmtId="167" formatCode="_(&quot;$&quot;* #,##0_);_(&quot;$&quot;* \(#,##0\);_(&quot;$&quot;* &quot;-&quot;??_);_(@_)"/>
  </numFmts>
  <fonts count="3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FF"/>
      <name val="Arial"/>
      <family val="2"/>
    </font>
    <font>
      <sz val="12"/>
      <color rgb="FF008000"/>
      <name val="Arial"/>
      <family val="2"/>
    </font>
    <font>
      <i/>
      <u val="singleAccounting"/>
      <sz val="12"/>
      <color theme="1"/>
      <name val="Arial"/>
      <family val="2"/>
    </font>
    <font>
      <sz val="12"/>
      <name val="Arial"/>
      <family val="2"/>
    </font>
    <font>
      <i/>
      <sz val="12"/>
      <color rgb="FF0000FF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4"/>
      <color rgb="FF222222"/>
      <name val="Arial"/>
      <family val="2"/>
    </font>
    <font>
      <b/>
      <sz val="18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rgb="FF222222"/>
      <name val="Arial"/>
      <family val="2"/>
    </font>
    <font>
      <b/>
      <sz val="20"/>
      <color rgb="FF222222"/>
      <name val="Arial"/>
      <family val="2"/>
    </font>
    <font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badi MT Condensed Extra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Dashed">
        <color rgb="FF92D050"/>
      </left>
      <right/>
      <top style="mediumDashed">
        <color rgb="FF92D050"/>
      </top>
      <bottom style="mediumDashed">
        <color rgb="FF92D050"/>
      </bottom>
      <diagonal/>
    </border>
    <border>
      <left/>
      <right/>
      <top style="mediumDashed">
        <color rgb="FF92D050"/>
      </top>
      <bottom style="mediumDashed">
        <color rgb="FF92D050"/>
      </bottom>
      <diagonal/>
    </border>
    <border>
      <left/>
      <right style="mediumDashed">
        <color rgb="FF92D050"/>
      </right>
      <top style="mediumDashed">
        <color rgb="FF92D050"/>
      </top>
      <bottom style="mediumDashed">
        <color rgb="FF92D050"/>
      </bottom>
      <diagonal/>
    </border>
  </borders>
  <cellStyleXfs count="47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165" fontId="4" fillId="0" borderId="0" xfId="0" quotePrefix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0" fillId="2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14" fontId="10" fillId="0" borderId="0" xfId="0" applyNumberFormat="1" applyFont="1"/>
    <xf numFmtId="14" fontId="7" fillId="0" borderId="0" xfId="0" applyNumberFormat="1" applyFont="1"/>
    <xf numFmtId="10" fontId="10" fillId="0" borderId="0" xfId="0" applyNumberFormat="1" applyFont="1"/>
    <xf numFmtId="10" fontId="7" fillId="0" borderId="0" xfId="0" applyNumberFormat="1" applyFont="1"/>
    <xf numFmtId="0" fontId="12" fillId="0" borderId="0" xfId="0" applyFont="1" applyAlignment="1">
      <alignment horizontal="centerContinuous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/>
    <xf numFmtId="165" fontId="14" fillId="0" borderId="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/>
    <xf numFmtId="165" fontId="8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4" borderId="0" xfId="0" applyFont="1" applyFill="1"/>
    <xf numFmtId="164" fontId="7" fillId="4" borderId="0" xfId="0" applyNumberFormat="1" applyFont="1" applyFill="1" applyAlignment="1">
      <alignment horizontal="right"/>
    </xf>
    <xf numFmtId="164" fontId="7" fillId="0" borderId="0" xfId="0" applyNumberFormat="1" applyFont="1"/>
    <xf numFmtId="10" fontId="7" fillId="0" borderId="3" xfId="0" applyNumberFormat="1" applyFont="1" applyBorder="1"/>
    <xf numFmtId="0" fontId="7" fillId="0" borderId="4" xfId="0" applyFont="1" applyBorder="1"/>
    <xf numFmtId="164" fontId="7" fillId="0" borderId="5" xfId="0" applyNumberFormat="1" applyFont="1" applyBorder="1"/>
    <xf numFmtId="164" fontId="11" fillId="0" borderId="0" xfId="0" applyNumberFormat="1" applyFont="1"/>
    <xf numFmtId="10" fontId="15" fillId="0" borderId="2" xfId="0" applyNumberFormat="1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10" fontId="11" fillId="0" borderId="0" xfId="0" applyNumberFormat="1" applyFont="1"/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6" fontId="7" fillId="0" borderId="0" xfId="0" applyNumberFormat="1" applyFont="1"/>
    <xf numFmtId="166" fontId="7" fillId="2" borderId="0" xfId="0" applyNumberFormat="1" applyFont="1" applyFill="1" applyBorder="1"/>
    <xf numFmtId="10" fontId="12" fillId="0" borderId="0" xfId="0" applyNumberFormat="1" applyFont="1" applyAlignment="1">
      <alignment horizontal="centerContinuous"/>
    </xf>
    <xf numFmtId="164" fontId="7" fillId="0" borderId="0" xfId="0" applyNumberFormat="1" applyFont="1" applyBorder="1"/>
    <xf numFmtId="165" fontId="7" fillId="0" borderId="0" xfId="0" applyNumberFormat="1" applyFont="1"/>
    <xf numFmtId="0" fontId="7" fillId="2" borderId="0" xfId="0" applyFont="1" applyFill="1"/>
    <xf numFmtId="166" fontId="7" fillId="2" borderId="0" xfId="0" applyNumberFormat="1" applyFont="1" applyFill="1"/>
    <xf numFmtId="165" fontId="14" fillId="0" borderId="0" xfId="0" quotePrefix="1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4" fontId="10" fillId="0" borderId="4" xfId="0" applyNumberFormat="1" applyFont="1" applyBorder="1"/>
    <xf numFmtId="14" fontId="13" fillId="0" borderId="4" xfId="0" applyNumberFormat="1" applyFont="1" applyBorder="1" applyAlignment="1">
      <alignment horizontal="right"/>
    </xf>
    <xf numFmtId="0" fontId="7" fillId="5" borderId="7" xfId="0" applyFont="1" applyFill="1" applyBorder="1"/>
    <xf numFmtId="164" fontId="7" fillId="5" borderId="7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/>
    <xf numFmtId="0" fontId="16" fillId="0" borderId="0" xfId="0" applyFont="1" applyBorder="1" applyAlignment="1">
      <alignment horizontal="right" vertical="center" textRotation="90" wrapText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/>
    <xf numFmtId="165" fontId="14" fillId="2" borderId="1" xfId="0" quotePrefix="1" applyNumberFormat="1" applyFont="1" applyFill="1" applyBorder="1" applyAlignment="1">
      <alignment horizontal="right"/>
    </xf>
    <xf numFmtId="0" fontId="9" fillId="3" borderId="0" xfId="0" applyFont="1" applyFill="1" applyBorder="1"/>
    <xf numFmtId="0" fontId="19" fillId="0" borderId="0" xfId="0" applyFont="1"/>
    <xf numFmtId="0" fontId="6" fillId="6" borderId="14" xfId="0" applyFont="1" applyFill="1" applyBorder="1"/>
    <xf numFmtId="0" fontId="6" fillId="6" borderId="15" xfId="0" applyFont="1" applyFill="1" applyBorder="1"/>
    <xf numFmtId="164" fontId="6" fillId="6" borderId="15" xfId="0" applyNumberFormat="1" applyFont="1" applyFill="1" applyBorder="1"/>
    <xf numFmtId="164" fontId="6" fillId="6" borderId="16" xfId="0" applyNumberFormat="1" applyFont="1" applyFill="1" applyBorder="1"/>
    <xf numFmtId="0" fontId="6" fillId="6" borderId="0" xfId="0" applyFont="1" applyFill="1" applyBorder="1"/>
    <xf numFmtId="44" fontId="6" fillId="6" borderId="0" xfId="473" applyFont="1" applyFill="1" applyBorder="1"/>
    <xf numFmtId="0" fontId="23" fillId="0" borderId="0" xfId="0" applyFont="1"/>
    <xf numFmtId="0" fontId="24" fillId="0" borderId="0" xfId="0" applyFont="1"/>
    <xf numFmtId="0" fontId="6" fillId="5" borderId="7" xfId="0" applyFont="1" applyFill="1" applyBorder="1"/>
    <xf numFmtId="0" fontId="26" fillId="0" borderId="0" xfId="0" applyFont="1" applyBorder="1"/>
    <xf numFmtId="8" fontId="25" fillId="0" borderId="0" xfId="0" applyNumberFormat="1" applyFont="1" applyBorder="1"/>
    <xf numFmtId="9" fontId="25" fillId="0" borderId="0" xfId="474" applyFont="1" applyBorder="1"/>
    <xf numFmtId="0" fontId="0" fillId="2" borderId="0" xfId="0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2" fillId="2" borderId="0" xfId="0" applyFont="1" applyFill="1" applyBorder="1"/>
    <xf numFmtId="3" fontId="7" fillId="2" borderId="0" xfId="0" applyNumberFormat="1" applyFont="1" applyFill="1" applyBorder="1"/>
    <xf numFmtId="167" fontId="7" fillId="2" borderId="0" xfId="473" applyNumberFormat="1" applyFont="1" applyFill="1" applyBorder="1"/>
    <xf numFmtId="9" fontId="21" fillId="2" borderId="0" xfId="0" applyNumberFormat="1" applyFont="1" applyFill="1" applyBorder="1"/>
    <xf numFmtId="10" fontId="7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/>
    <xf numFmtId="167" fontId="6" fillId="2" borderId="0" xfId="0" applyNumberFormat="1" applyFont="1" applyFill="1" applyBorder="1"/>
    <xf numFmtId="0" fontId="27" fillId="0" borderId="0" xfId="0" applyFont="1"/>
    <xf numFmtId="44" fontId="8" fillId="0" borderId="0" xfId="0" applyNumberFormat="1" applyFont="1" applyBorder="1"/>
    <xf numFmtId="9" fontId="26" fillId="0" borderId="0" xfId="474" applyFont="1"/>
    <xf numFmtId="0" fontId="29" fillId="0" borderId="0" xfId="0" applyFont="1"/>
    <xf numFmtId="44" fontId="7" fillId="0" borderId="0" xfId="0" applyNumberFormat="1" applyFont="1"/>
    <xf numFmtId="0" fontId="1" fillId="0" borderId="0" xfId="475"/>
    <xf numFmtId="0" fontId="7" fillId="0" borderId="0" xfId="0" applyFont="1" applyFill="1" applyBorder="1"/>
    <xf numFmtId="3" fontId="7" fillId="0" borderId="0" xfId="0" applyNumberFormat="1" applyFont="1" applyFill="1" applyBorder="1"/>
    <xf numFmtId="167" fontId="7" fillId="0" borderId="0" xfId="473" applyNumberFormat="1" applyFont="1" applyFill="1" applyBorder="1"/>
    <xf numFmtId="9" fontId="21" fillId="0" borderId="0" xfId="0" applyNumberFormat="1" applyFont="1" applyFill="1" applyBorder="1"/>
    <xf numFmtId="10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/>
    <xf numFmtId="10" fontId="7" fillId="0" borderId="0" xfId="0" applyNumberFormat="1" applyFont="1" applyFill="1" applyBorder="1"/>
    <xf numFmtId="44" fontId="7" fillId="0" borderId="0" xfId="473" applyFont="1" applyFill="1" applyBorder="1"/>
    <xf numFmtId="10" fontId="7" fillId="0" borderId="0" xfId="474" applyNumberFormat="1" applyFont="1" applyFill="1" applyBorder="1"/>
    <xf numFmtId="10" fontId="15" fillId="0" borderId="0" xfId="0" applyNumberFormat="1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9" fontId="7" fillId="0" borderId="0" xfId="0" applyNumberFormat="1" applyFont="1" applyFill="1" applyBorder="1"/>
    <xf numFmtId="166" fontId="7" fillId="0" borderId="0" xfId="0" applyNumberFormat="1" applyFont="1" applyFill="1" applyBorder="1"/>
    <xf numFmtId="3" fontId="25" fillId="0" borderId="0" xfId="0" applyNumberFormat="1" applyFont="1" applyBorder="1"/>
    <xf numFmtId="165" fontId="14" fillId="0" borderId="1" xfId="0" applyNumberFormat="1" applyFont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 textRotation="90" wrapText="1"/>
    </xf>
    <xf numFmtId="0" fontId="7" fillId="0" borderId="1" xfId="0" applyFont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 textRotation="90" wrapText="1"/>
    </xf>
  </cellXfs>
  <cellStyles count="476">
    <cellStyle name="Currency" xfId="47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5" builtinId="8"/>
    <cellStyle name="Normal" xfId="0" builtinId="0"/>
    <cellStyle name="Percent" xfId="474" builtinId="5"/>
  </cellStyles>
  <dxfs count="0"/>
  <tableStyles count="0" defaultTableStyle="TableStyleMedium9" defaultPivotStyle="PivotStyleMedium4"/>
  <colors>
    <mruColors>
      <color rgb="FF0000FF"/>
      <color rgb="FF334466"/>
      <color rgb="FF222222"/>
      <color rgb="FFBEBEBE"/>
      <color rgb="FFF5F5F5"/>
      <color rgb="FF00BB99"/>
      <color rgb="FF11AA55"/>
      <color rgb="FFFF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CA" b="0">
                <a:latin typeface="Arial" panose="020B0604020202020204" pitchFamily="34" charset="0"/>
                <a:cs typeface="Arial" panose="020B0604020202020204" pitchFamily="34" charset="0"/>
              </a:rPr>
              <a:t>Terminal</a:t>
            </a:r>
            <a:r>
              <a:rPr lang="en-CA" b="0" baseline="0">
                <a:latin typeface="Arial" panose="020B0604020202020204" pitchFamily="34" charset="0"/>
                <a:cs typeface="Arial" panose="020B0604020202020204" pitchFamily="34" charset="0"/>
              </a:rPr>
              <a:t> Value Comparison</a:t>
            </a:r>
            <a:endParaRPr lang="en-CA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DCF!$E$62:$F$62</c:f>
              <c:strCache>
                <c:ptCount val="2"/>
                <c:pt idx="0">
                  <c:v>Discount Rate</c:v>
                </c:pt>
                <c:pt idx="1">
                  <c:v>6.50%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DCF!$G$60:$I$61</c:f>
              <c:multiLvlStrCache>
                <c:ptCount val="3"/>
                <c:lvl>
                  <c:pt idx="0">
                    <c:v>4.00%</c:v>
                  </c:pt>
                  <c:pt idx="1">
                    <c:v>5.00%</c:v>
                  </c:pt>
                  <c:pt idx="2">
                    <c:v>6.00%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DCF!$G$62:$I$62</c:f>
              <c:numCache>
                <c:formatCode>#,##0.0_);\(#,##0.0\)</c:formatCode>
                <c:ptCount val="3"/>
                <c:pt idx="0">
                  <c:v>4105.6163574034754</c:v>
                </c:pt>
                <c:pt idx="1">
                  <c:v>6908.4890629385409</c:v>
                </c:pt>
                <c:pt idx="2">
                  <c:v>20922.852590613875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0-9B4B-90DD-58D67C8994DA}"/>
            </c:ext>
          </c:extLst>
        </c:ser>
        <c:ser>
          <c:idx val="1"/>
          <c:order val="1"/>
          <c:tx>
            <c:strRef>
              <c:f>DCF!$E$63:$F$63</c:f>
              <c:strCache>
                <c:ptCount val="2"/>
                <c:pt idx="0">
                  <c:v>Discount Rate</c:v>
                </c:pt>
                <c:pt idx="1">
                  <c:v>7.00%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DCF!$G$60:$I$61</c:f>
              <c:multiLvlStrCache>
                <c:ptCount val="3"/>
                <c:lvl>
                  <c:pt idx="0">
                    <c:v>4.00%</c:v>
                  </c:pt>
                  <c:pt idx="1">
                    <c:v>5.00%</c:v>
                  </c:pt>
                  <c:pt idx="2">
                    <c:v>6.00%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DCF!$G$63:$I$63</c:f>
              <c:numCache>
                <c:formatCode>#,##0.0_);\(#,##0.0\)</c:formatCode>
                <c:ptCount val="3"/>
                <c:pt idx="0">
                  <c:v>3421.3469645028954</c:v>
                </c:pt>
                <c:pt idx="1">
                  <c:v>5181.3667972039048</c:v>
                </c:pt>
                <c:pt idx="2">
                  <c:v>10461.42629530693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0-9B4B-90DD-58D67C8994DA}"/>
            </c:ext>
          </c:extLst>
        </c:ser>
        <c:ser>
          <c:idx val="2"/>
          <c:order val="2"/>
          <c:tx>
            <c:strRef>
              <c:f>DCF!$E$64:$F$64</c:f>
              <c:strCache>
                <c:ptCount val="2"/>
                <c:pt idx="0">
                  <c:v>Discount Rate</c:v>
                </c:pt>
                <c:pt idx="1">
                  <c:v>7.50%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DCF!$G$60:$I$61</c:f>
              <c:multiLvlStrCache>
                <c:ptCount val="3"/>
                <c:lvl>
                  <c:pt idx="0">
                    <c:v>4.00%</c:v>
                  </c:pt>
                  <c:pt idx="1">
                    <c:v>5.00%</c:v>
                  </c:pt>
                  <c:pt idx="2">
                    <c:v>6.00%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DCF!$G$64:$I$64</c:f>
              <c:numCache>
                <c:formatCode>#,##0.0_);\(#,##0.0\)</c:formatCode>
                <c:ptCount val="3"/>
                <c:pt idx="0">
                  <c:v>2932.583112431053</c:v>
                </c:pt>
                <c:pt idx="1">
                  <c:v>4145.0934377631229</c:v>
                </c:pt>
                <c:pt idx="2">
                  <c:v>6974.2841968712855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0-9B4B-90DD-58D67C8994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615310912"/>
        <c:axId val="615310520"/>
      </c:barChart>
      <c:catAx>
        <c:axId val="61531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10520"/>
        <c:crosses val="autoZero"/>
        <c:auto val="1"/>
        <c:lblAlgn val="ctr"/>
        <c:lblOffset val="100"/>
        <c:noMultiLvlLbl val="0"/>
      </c:catAx>
      <c:valAx>
        <c:axId val="6153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3109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CA" b="0">
                <a:latin typeface="Arial" panose="020B0604020202020204" pitchFamily="34" charset="0"/>
                <a:cs typeface="Arial" panose="020B0604020202020204" pitchFamily="34" charset="0"/>
              </a:rPr>
              <a:t>PV of Terminal</a:t>
            </a:r>
            <a:r>
              <a:rPr lang="en-CA" b="0" baseline="0">
                <a:latin typeface="Arial" panose="020B0604020202020204" pitchFamily="34" charset="0"/>
                <a:cs typeface="Arial" panose="020B0604020202020204" pitchFamily="34" charset="0"/>
              </a:rPr>
              <a:t> Value Comparison</a:t>
            </a:r>
            <a:endParaRPr lang="en-CA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DCF!$K$62:$L$62</c:f>
              <c:strCache>
                <c:ptCount val="2"/>
                <c:pt idx="0">
                  <c:v>Discount Rate</c:v>
                </c:pt>
                <c:pt idx="1">
                  <c:v>6.50%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DCF!$M$60:$O$61</c:f>
              <c:multiLvlStrCache>
                <c:ptCount val="3"/>
                <c:lvl>
                  <c:pt idx="0">
                    <c:v>4.00%</c:v>
                  </c:pt>
                  <c:pt idx="1">
                    <c:v>5.00%</c:v>
                  </c:pt>
                  <c:pt idx="2">
                    <c:v>6.00%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DCF!$M$62:$O$62</c:f>
              <c:numCache>
                <c:formatCode>#,##0.0_);\(#,##0.0\)</c:formatCode>
                <c:ptCount val="3"/>
                <c:pt idx="0">
                  <c:v>2186.8857235299165</c:v>
                </c:pt>
                <c:pt idx="1">
                  <c:v>3679.8557847859179</c:v>
                </c:pt>
                <c:pt idx="2">
                  <c:v>11144.706091065927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8-AF46-A272-1A97285D1169}"/>
            </c:ext>
          </c:extLst>
        </c:ser>
        <c:ser>
          <c:idx val="1"/>
          <c:order val="1"/>
          <c:tx>
            <c:strRef>
              <c:f>DCF!$K$63:$L$63</c:f>
              <c:strCache>
                <c:ptCount val="2"/>
                <c:pt idx="0">
                  <c:v>Discount Rate</c:v>
                </c:pt>
                <c:pt idx="1">
                  <c:v>7.00%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DCF!$M$60:$O$61</c:f>
              <c:multiLvlStrCache>
                <c:ptCount val="3"/>
                <c:lvl>
                  <c:pt idx="0">
                    <c:v>4.00%</c:v>
                  </c:pt>
                  <c:pt idx="1">
                    <c:v>5.00%</c:v>
                  </c:pt>
                  <c:pt idx="2">
                    <c:v>6.00%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DCF!$M$63:$O$63</c:f>
              <c:numCache>
                <c:formatCode>#,##0.0_);\(#,##0.0\)</c:formatCode>
                <c:ptCount val="3"/>
                <c:pt idx="0">
                  <c:v>1738.9975272753209</c:v>
                </c:pt>
                <c:pt idx="1">
                  <c:v>2633.5779860179141</c:v>
                </c:pt>
                <c:pt idx="2">
                  <c:v>5317.3193622456929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8-AF46-A272-1A97285D1169}"/>
            </c:ext>
          </c:extLst>
        </c:ser>
        <c:ser>
          <c:idx val="2"/>
          <c:order val="2"/>
          <c:tx>
            <c:strRef>
              <c:f>DCF!$K$64:$L$64</c:f>
              <c:strCache>
                <c:ptCount val="2"/>
                <c:pt idx="0">
                  <c:v>Discount Rate</c:v>
                </c:pt>
                <c:pt idx="1">
                  <c:v>7.50%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DCF!$M$60:$O$61</c:f>
              <c:multiLvlStrCache>
                <c:ptCount val="3"/>
                <c:lvl>
                  <c:pt idx="0">
                    <c:v>4.00%</c:v>
                  </c:pt>
                  <c:pt idx="1">
                    <c:v>5.00%</c:v>
                  </c:pt>
                  <c:pt idx="2">
                    <c:v>6.00%</c:v>
                  </c:pt>
                </c:lvl>
                <c:lvl>
                  <c:pt idx="0">
                    <c:v>Perpetual Growth Rate</c:v>
                  </c:pt>
                </c:lvl>
              </c:multiLvlStrCache>
            </c:multiLvlStrRef>
          </c:cat>
          <c:val>
            <c:numRef>
              <c:f>DCF!$M$64:$O$64</c:f>
              <c:numCache>
                <c:formatCode>#,##0.0_);\(#,##0.0\)</c:formatCode>
                <c:ptCount val="3"/>
                <c:pt idx="0">
                  <c:v>1422.6600915604677</c:v>
                </c:pt>
                <c:pt idx="1">
                  <c:v>2010.8753217248916</c:v>
                </c:pt>
                <c:pt idx="2">
                  <c:v>3383.3775254418811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8-AF46-A272-1A97285D11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37861984"/>
        <c:axId val="437862376"/>
      </c:barChart>
      <c:catAx>
        <c:axId val="43786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862376"/>
        <c:crosses val="autoZero"/>
        <c:auto val="1"/>
        <c:lblAlgn val="ctr"/>
        <c:lblOffset val="100"/>
        <c:noMultiLvlLbl val="0"/>
      </c:catAx>
      <c:valAx>
        <c:axId val="43786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8619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/>
                </a:solidFill>
                <a:latin typeface="+mj-lt"/>
                <a:ea typeface="+mj-ea"/>
                <a:cs typeface="+mj-cs"/>
              </a:defRPr>
            </a:pPr>
            <a:r>
              <a:rPr lang="en-CA"/>
              <a:t>Key Performance Indicator Comparison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DCF!#REF!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DCF!$E$15:$O$15</c:f>
              <c:numCache>
                <c:formatCode>m/d/yy</c:formatCode>
                <c:ptCount val="11"/>
                <c:pt idx="0">
                  <c:v>43830</c:v>
                </c:pt>
                <c:pt idx="1">
                  <c:v>44195.5</c:v>
                </c:pt>
                <c:pt idx="2">
                  <c:v>44560.75</c:v>
                </c:pt>
                <c:pt idx="3">
                  <c:v>44926</c:v>
                </c:pt>
                <c:pt idx="4">
                  <c:v>45291.25</c:v>
                </c:pt>
                <c:pt idx="5">
                  <c:v>45656.5</c:v>
                </c:pt>
                <c:pt idx="6">
                  <c:v>46021.75</c:v>
                </c:pt>
                <c:pt idx="7">
                  <c:v>46387</c:v>
                </c:pt>
                <c:pt idx="8">
                  <c:v>46752.25</c:v>
                </c:pt>
                <c:pt idx="9">
                  <c:v>47117.5</c:v>
                </c:pt>
                <c:pt idx="10">
                  <c:v>47482.75</c:v>
                </c:pt>
              </c:numCache>
            </c:numRef>
          </c:cat>
          <c:val>
            <c:numRef>
              <c:f>DCF!#REF!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0-3445-82C9-BD0A681C8B00}"/>
            </c:ext>
          </c:extLst>
        </c:ser>
        <c:ser>
          <c:idx val="2"/>
          <c:order val="1"/>
          <c:tx>
            <c:strRef>
              <c:f>DCF!#REF!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DCF!$E$15:$O$15</c:f>
              <c:numCache>
                <c:formatCode>m/d/yy</c:formatCode>
                <c:ptCount val="11"/>
                <c:pt idx="0">
                  <c:v>43830</c:v>
                </c:pt>
                <c:pt idx="1">
                  <c:v>44195.5</c:v>
                </c:pt>
                <c:pt idx="2">
                  <c:v>44560.75</c:v>
                </c:pt>
                <c:pt idx="3">
                  <c:v>44926</c:v>
                </c:pt>
                <c:pt idx="4">
                  <c:v>45291.25</c:v>
                </c:pt>
                <c:pt idx="5">
                  <c:v>45656.5</c:v>
                </c:pt>
                <c:pt idx="6">
                  <c:v>46021.75</c:v>
                </c:pt>
                <c:pt idx="7">
                  <c:v>46387</c:v>
                </c:pt>
                <c:pt idx="8">
                  <c:v>46752.25</c:v>
                </c:pt>
                <c:pt idx="9">
                  <c:v>47117.5</c:v>
                </c:pt>
                <c:pt idx="10">
                  <c:v>47482.75</c:v>
                </c:pt>
              </c:numCache>
            </c:numRef>
          </c:cat>
          <c:val>
            <c:numRef>
              <c:f>DCF!#REF!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0-3445-82C9-BD0A681C8B00}"/>
            </c:ext>
          </c:extLst>
        </c:ser>
        <c:ser>
          <c:idx val="3"/>
          <c:order val="2"/>
          <c:tx>
            <c:strRef>
              <c:f>DCF!$A$19</c:f>
              <c:strCache>
                <c:ptCount val="1"/>
                <c:pt idx="0">
                  <c:v>Free Cash Flow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DCF!$E$15:$O$15</c:f>
              <c:numCache>
                <c:formatCode>m/d/yy</c:formatCode>
                <c:ptCount val="11"/>
                <c:pt idx="0">
                  <c:v>43830</c:v>
                </c:pt>
                <c:pt idx="1">
                  <c:v>44195.5</c:v>
                </c:pt>
                <c:pt idx="2">
                  <c:v>44560.75</c:v>
                </c:pt>
                <c:pt idx="3">
                  <c:v>44926</c:v>
                </c:pt>
                <c:pt idx="4">
                  <c:v>45291.25</c:v>
                </c:pt>
                <c:pt idx="5">
                  <c:v>45656.5</c:v>
                </c:pt>
                <c:pt idx="6">
                  <c:v>46021.75</c:v>
                </c:pt>
                <c:pt idx="7">
                  <c:v>46387</c:v>
                </c:pt>
                <c:pt idx="8">
                  <c:v>46752.25</c:v>
                </c:pt>
                <c:pt idx="9">
                  <c:v>47117.5</c:v>
                </c:pt>
                <c:pt idx="10">
                  <c:v>47482.75</c:v>
                </c:pt>
              </c:numCache>
            </c:numRef>
          </c:cat>
          <c:val>
            <c:numRef>
              <c:f>DCF!$E$19:$O$19</c:f>
              <c:numCache>
                <c:formatCode>#,##0.0_);\(#,##0.0\)</c:formatCode>
                <c:ptCount val="11"/>
                <c:pt idx="0">
                  <c:v>16.619999999999997</c:v>
                </c:pt>
                <c:pt idx="1">
                  <c:v>29.417399999999997</c:v>
                </c:pt>
                <c:pt idx="2">
                  <c:v>16.669859999999996</c:v>
                </c:pt>
                <c:pt idx="3">
                  <c:v>26.671775999999994</c:v>
                </c:pt>
                <c:pt idx="4">
                  <c:v>40.007663999999991</c:v>
                </c:pt>
                <c:pt idx="5">
                  <c:v>54.010346399999996</c:v>
                </c:pt>
                <c:pt idx="6">
                  <c:v>64.812415680000001</c:v>
                </c:pt>
                <c:pt idx="7">
                  <c:v>74.534278031999989</c:v>
                </c:pt>
                <c:pt idx="8">
                  <c:v>83.851062786</c:v>
                </c:pt>
                <c:pt idx="9">
                  <c:v>92.236169064600006</c:v>
                </c:pt>
                <c:pt idx="10">
                  <c:v>98.692700899122002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0-3445-82C9-BD0A681C8B00}"/>
            </c:ext>
          </c:extLst>
        </c:ser>
        <c:ser>
          <c:idx val="4"/>
          <c:order val="3"/>
          <c:tx>
            <c:strRef>
              <c:f>DCF!#REF!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DCF!$E$15:$O$15</c:f>
              <c:numCache>
                <c:formatCode>m/d/yy</c:formatCode>
                <c:ptCount val="11"/>
                <c:pt idx="0">
                  <c:v>43830</c:v>
                </c:pt>
                <c:pt idx="1">
                  <c:v>44195.5</c:v>
                </c:pt>
                <c:pt idx="2">
                  <c:v>44560.75</c:v>
                </c:pt>
                <c:pt idx="3">
                  <c:v>44926</c:v>
                </c:pt>
                <c:pt idx="4">
                  <c:v>45291.25</c:v>
                </c:pt>
                <c:pt idx="5">
                  <c:v>45656.5</c:v>
                </c:pt>
                <c:pt idx="6">
                  <c:v>46021.75</c:v>
                </c:pt>
                <c:pt idx="7">
                  <c:v>46387</c:v>
                </c:pt>
                <c:pt idx="8">
                  <c:v>46752.25</c:v>
                </c:pt>
                <c:pt idx="9">
                  <c:v>47117.5</c:v>
                </c:pt>
                <c:pt idx="10">
                  <c:v>47482.75</c:v>
                </c:pt>
              </c:numCache>
            </c:numRef>
          </c:cat>
          <c:val>
            <c:numRef>
              <c:f>DCF!#REF!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D0-3445-82C9-BD0A681C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00586872"/>
        <c:axId val="430548912"/>
      </c:barChart>
      <c:dateAx>
        <c:axId val="40058687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548912"/>
        <c:crosses val="autoZero"/>
        <c:auto val="1"/>
        <c:lblOffset val="100"/>
        <c:baseTimeUnit val="years"/>
      </c:dateAx>
      <c:valAx>
        <c:axId val="43054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Millions (input currency)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868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dk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72</xdr:row>
      <xdr:rowOff>61961</xdr:rowOff>
    </xdr:from>
    <xdr:to>
      <xdr:col>6</xdr:col>
      <xdr:colOff>327693</xdr:colOff>
      <xdr:row>86</xdr:row>
      <xdr:rowOff>105351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868590</xdr:colOff>
      <xdr:row>72</xdr:row>
      <xdr:rowOff>89479</xdr:rowOff>
    </xdr:from>
    <xdr:to>
      <xdr:col>13</xdr:col>
      <xdr:colOff>171211</xdr:colOff>
      <xdr:row>86</xdr:row>
      <xdr:rowOff>136580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154422</xdr:colOff>
      <xdr:row>22</xdr:row>
      <xdr:rowOff>7257</xdr:rowOff>
    </xdr:from>
    <xdr:to>
      <xdr:col>15</xdr:col>
      <xdr:colOff>239569</xdr:colOff>
      <xdr:row>38</xdr:row>
      <xdr:rowOff>139989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15"/>
  <sheetViews>
    <sheetView showGridLines="0" tabSelected="1" zoomScale="80" zoomScaleNormal="80" zoomScalePageLayoutView="80" workbookViewId="0"/>
  </sheetViews>
  <sheetFormatPr baseColWidth="10" defaultColWidth="11" defaultRowHeight="16" x14ac:dyDescent="0.2"/>
  <cols>
    <col min="1" max="1" width="48.5" customWidth="1"/>
    <col min="2" max="2" width="32.83203125" customWidth="1"/>
    <col min="3" max="3" width="1.1640625" customWidth="1"/>
    <col min="4" max="4" width="13.5" customWidth="1"/>
    <col min="5" max="5" width="25" bestFit="1" customWidth="1"/>
    <col min="6" max="6" width="17.1640625" customWidth="1"/>
    <col min="7" max="7" width="16.33203125" customWidth="1"/>
    <col min="8" max="8" width="12.6640625" bestFit="1" customWidth="1"/>
    <col min="9" max="9" width="16" customWidth="1"/>
    <col min="10" max="10" width="17.5" customWidth="1"/>
    <col min="11" max="11" width="25" bestFit="1" customWidth="1"/>
    <col min="12" max="15" width="14" bestFit="1" customWidth="1"/>
    <col min="16" max="16" width="23.33203125" customWidth="1"/>
    <col min="17" max="17" width="21" bestFit="1" customWidth="1"/>
  </cols>
  <sheetData>
    <row r="2" spans="1:17" ht="25" x14ac:dyDescent="0.25">
      <c r="A2" s="74" t="s">
        <v>40</v>
      </c>
      <c r="G2" s="91"/>
    </row>
    <row r="3" spans="1:17" ht="16" customHeight="1" x14ac:dyDescent="0.2">
      <c r="A3" s="75" t="s">
        <v>33</v>
      </c>
      <c r="I3" s="80"/>
      <c r="J3" s="80"/>
      <c r="K3" s="80"/>
      <c r="L3" s="80"/>
      <c r="M3" s="80"/>
      <c r="N3" s="115"/>
      <c r="O3" s="115"/>
      <c r="P3" s="115"/>
      <c r="Q3" s="115"/>
    </row>
    <row r="4" spans="1:17" x14ac:dyDescent="0.2">
      <c r="A4" s="12"/>
      <c r="B4" s="11"/>
      <c r="C4" s="11"/>
      <c r="D4" s="11"/>
      <c r="E4" s="11"/>
      <c r="F4" s="11"/>
      <c r="G4" s="11"/>
      <c r="H4" s="11"/>
      <c r="I4" s="81"/>
      <c r="J4" s="81"/>
      <c r="K4" s="82"/>
      <c r="L4" s="81"/>
      <c r="M4" s="83"/>
      <c r="N4" s="84"/>
      <c r="O4" s="84"/>
      <c r="P4" s="84"/>
      <c r="Q4" s="84"/>
    </row>
    <row r="5" spans="1:17" x14ac:dyDescent="0.2">
      <c r="A5" s="13" t="s">
        <v>23</v>
      </c>
      <c r="B5" s="13"/>
      <c r="C5" s="11"/>
      <c r="D5" s="11"/>
      <c r="E5" s="11"/>
      <c r="F5" s="11"/>
      <c r="G5" s="11"/>
      <c r="H5" s="11"/>
      <c r="I5" s="81"/>
      <c r="J5" s="85"/>
      <c r="K5" s="86"/>
      <c r="L5" s="87"/>
      <c r="M5" s="88"/>
      <c r="N5" s="86"/>
      <c r="O5" s="89"/>
      <c r="P5" s="89"/>
      <c r="Q5" s="89"/>
    </row>
    <row r="6" spans="1:17" x14ac:dyDescent="0.2">
      <c r="A6" s="11" t="s">
        <v>37</v>
      </c>
      <c r="B6" s="14">
        <v>43830</v>
      </c>
      <c r="C6" s="15"/>
      <c r="D6" s="15"/>
      <c r="E6" s="11"/>
      <c r="F6" s="11"/>
      <c r="G6" s="11"/>
      <c r="H6" s="11"/>
      <c r="I6" s="81"/>
      <c r="J6" s="85"/>
      <c r="K6" s="86"/>
      <c r="L6" s="87"/>
      <c r="M6" s="88"/>
      <c r="N6" s="86"/>
      <c r="O6" s="89"/>
      <c r="P6" s="89"/>
      <c r="Q6" s="89"/>
    </row>
    <row r="7" spans="1:17" x14ac:dyDescent="0.2">
      <c r="A7" s="11" t="s">
        <v>0</v>
      </c>
      <c r="B7" s="16">
        <v>7.0000000000000007E-2</v>
      </c>
      <c r="C7" s="17"/>
      <c r="D7" s="103"/>
      <c r="E7" s="97"/>
      <c r="F7" s="97"/>
      <c r="G7" s="97"/>
      <c r="H7" s="97"/>
      <c r="I7" s="97"/>
      <c r="J7" s="98"/>
      <c r="K7" s="99"/>
      <c r="L7" s="100"/>
      <c r="M7" s="101"/>
      <c r="N7" s="99"/>
      <c r="O7" s="102"/>
      <c r="P7" s="89"/>
      <c r="Q7" s="89"/>
    </row>
    <row r="8" spans="1:17" ht="16" customHeight="1" x14ac:dyDescent="0.2">
      <c r="A8" s="11" t="s">
        <v>29</v>
      </c>
      <c r="B8" s="16">
        <v>5.0000000000000001E-3</v>
      </c>
      <c r="C8" s="17"/>
      <c r="D8" s="103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9"/>
      <c r="Q8" s="89"/>
    </row>
    <row r="9" spans="1:17" x14ac:dyDescent="0.2">
      <c r="A9" s="11" t="s">
        <v>14</v>
      </c>
      <c r="B9" s="16">
        <v>0.05</v>
      </c>
      <c r="C9" s="17"/>
      <c r="D9" s="103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90"/>
      <c r="Q9" s="90"/>
    </row>
    <row r="10" spans="1:17" x14ac:dyDescent="0.2">
      <c r="A10" s="11" t="s">
        <v>28</v>
      </c>
      <c r="B10" s="16">
        <v>0.01</v>
      </c>
      <c r="C10" s="17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1"/>
      <c r="Q10" s="11"/>
    </row>
    <row r="11" spans="1:17" x14ac:dyDescent="0.2">
      <c r="A11" s="11" t="s">
        <v>6</v>
      </c>
      <c r="B11" s="16">
        <v>0.21</v>
      </c>
      <c r="C11" s="17"/>
      <c r="D11" s="103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7" x14ac:dyDescent="0.2">
      <c r="A12" s="11"/>
      <c r="B12" s="11"/>
      <c r="C12" s="11"/>
      <c r="D12" s="11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</row>
    <row r="13" spans="1:17" x14ac:dyDescent="0.2">
      <c r="A13" s="13" t="s">
        <v>21</v>
      </c>
      <c r="B13" s="13"/>
      <c r="C13" s="13"/>
      <c r="D13" s="13"/>
      <c r="E13" s="13"/>
      <c r="F13" s="13"/>
      <c r="G13" s="13"/>
      <c r="H13" s="66"/>
      <c r="I13" s="66"/>
      <c r="J13" s="66"/>
      <c r="K13" s="13"/>
      <c r="L13" s="13"/>
      <c r="M13" s="13"/>
      <c r="N13" s="13"/>
      <c r="O13" s="13"/>
    </row>
    <row r="14" spans="1:17" x14ac:dyDescent="0.2">
      <c r="A14" s="12" t="s">
        <v>39</v>
      </c>
      <c r="B14" s="11"/>
      <c r="C14" s="11"/>
      <c r="D14" s="11"/>
      <c r="E14" s="114" t="s">
        <v>31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1:17" x14ac:dyDescent="0.2">
      <c r="A15" s="34"/>
      <c r="B15" s="34"/>
      <c r="C15" s="34"/>
      <c r="D15" s="34"/>
      <c r="E15" s="56">
        <f>B6</f>
        <v>43830</v>
      </c>
      <c r="F15" s="57">
        <f>E15+365.5</f>
        <v>44195.5</v>
      </c>
      <c r="G15" s="57">
        <f t="shared" ref="G15:O15" si="0">F15+365.25</f>
        <v>44560.75</v>
      </c>
      <c r="H15" s="57">
        <f t="shared" si="0"/>
        <v>44926</v>
      </c>
      <c r="I15" s="57">
        <f t="shared" si="0"/>
        <v>45291.25</v>
      </c>
      <c r="J15" s="57">
        <f t="shared" si="0"/>
        <v>45656.5</v>
      </c>
      <c r="K15" s="57">
        <f t="shared" si="0"/>
        <v>46021.75</v>
      </c>
      <c r="L15" s="57">
        <f t="shared" si="0"/>
        <v>46387</v>
      </c>
      <c r="M15" s="57">
        <f t="shared" si="0"/>
        <v>46752.25</v>
      </c>
      <c r="N15" s="57">
        <f t="shared" si="0"/>
        <v>47117.5</v>
      </c>
      <c r="O15" s="57">
        <f t="shared" si="0"/>
        <v>47482.75</v>
      </c>
    </row>
    <row r="16" spans="1:17" x14ac:dyDescent="0.2">
      <c r="A16" s="76" t="s">
        <v>1</v>
      </c>
      <c r="B16" s="58"/>
      <c r="C16" s="58"/>
      <c r="D16" s="58"/>
      <c r="E16" s="59">
        <v>55.4</v>
      </c>
      <c r="F16" s="59">
        <f>E16*(1+F17)</f>
        <v>98.057999999999993</v>
      </c>
      <c r="G16" s="59">
        <f t="shared" ref="G16:O16" si="1">F16*(1+G17)</f>
        <v>166.69859999999997</v>
      </c>
      <c r="H16" s="59">
        <f t="shared" si="1"/>
        <v>266.71775999999994</v>
      </c>
      <c r="I16" s="59">
        <f t="shared" si="1"/>
        <v>400.07663999999988</v>
      </c>
      <c r="J16" s="59">
        <f>I16*(1+J17)</f>
        <v>540.10346399999992</v>
      </c>
      <c r="K16" s="59">
        <f>J16*(1+K17)</f>
        <v>648.12415679999992</v>
      </c>
      <c r="L16" s="59">
        <f t="shared" si="1"/>
        <v>745.34278031999986</v>
      </c>
      <c r="M16" s="59">
        <f t="shared" si="1"/>
        <v>838.51062785999989</v>
      </c>
      <c r="N16" s="59">
        <f t="shared" si="1"/>
        <v>922.36169064599994</v>
      </c>
      <c r="O16" s="59">
        <f t="shared" si="1"/>
        <v>986.92700899121996</v>
      </c>
      <c r="P16" s="3"/>
    </row>
    <row r="17" spans="1:16" s="4" customFormat="1" x14ac:dyDescent="0.2">
      <c r="A17" s="63" t="s">
        <v>3</v>
      </c>
      <c r="B17" s="64"/>
      <c r="C17" s="64"/>
      <c r="D17" s="64"/>
      <c r="E17" s="65" t="s">
        <v>5</v>
      </c>
      <c r="F17" s="112">
        <v>0.77</v>
      </c>
      <c r="G17" s="112">
        <v>0.7</v>
      </c>
      <c r="H17" s="112">
        <v>0.6</v>
      </c>
      <c r="I17" s="112">
        <v>0.5</v>
      </c>
      <c r="J17" s="112">
        <v>0.35</v>
      </c>
      <c r="K17" s="112">
        <v>0.2</v>
      </c>
      <c r="L17" s="112">
        <v>0.15</v>
      </c>
      <c r="M17" s="112">
        <v>0.125</v>
      </c>
      <c r="N17" s="112">
        <v>0.1</v>
      </c>
      <c r="O17" s="112">
        <v>7.0000000000000007E-2</v>
      </c>
      <c r="P17" s="5"/>
    </row>
    <row r="18" spans="1:16" s="4" customFormat="1" x14ac:dyDescent="0.2">
      <c r="A18" s="19"/>
      <c r="B18" s="20"/>
      <c r="C18" s="20"/>
      <c r="D18" s="20"/>
      <c r="E18" s="5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</row>
    <row r="19" spans="1:16" x14ac:dyDescent="0.2">
      <c r="A19" s="58" t="s">
        <v>30</v>
      </c>
      <c r="B19" s="58"/>
      <c r="C19" s="58"/>
      <c r="D19" s="58"/>
      <c r="E19" s="59">
        <f>E16*E20</f>
        <v>16.619999999999997</v>
      </c>
      <c r="F19" s="59">
        <f t="shared" ref="F19:O19" si="2">F16*F20</f>
        <v>29.417399999999997</v>
      </c>
      <c r="G19" s="59">
        <f t="shared" si="2"/>
        <v>16.669859999999996</v>
      </c>
      <c r="H19" s="59">
        <f t="shared" si="2"/>
        <v>26.671775999999994</v>
      </c>
      <c r="I19" s="59">
        <f t="shared" si="2"/>
        <v>40.007663999999991</v>
      </c>
      <c r="J19" s="59">
        <f t="shared" si="2"/>
        <v>54.010346399999996</v>
      </c>
      <c r="K19" s="59">
        <f t="shared" si="2"/>
        <v>64.812415680000001</v>
      </c>
      <c r="L19" s="59">
        <f t="shared" si="2"/>
        <v>74.534278031999989</v>
      </c>
      <c r="M19" s="59">
        <f t="shared" si="2"/>
        <v>83.851062786</v>
      </c>
      <c r="N19" s="59">
        <f t="shared" si="2"/>
        <v>92.236169064600006</v>
      </c>
      <c r="O19" s="59">
        <f t="shared" si="2"/>
        <v>98.692700899122002</v>
      </c>
      <c r="P19" s="1"/>
    </row>
    <row r="20" spans="1:16" s="7" customFormat="1" x14ac:dyDescent="0.2">
      <c r="A20" s="60" t="s">
        <v>4</v>
      </c>
      <c r="B20" s="61"/>
      <c r="C20" s="61"/>
      <c r="D20" s="61"/>
      <c r="E20" s="111">
        <v>0.3</v>
      </c>
      <c r="F20" s="111">
        <v>0.3</v>
      </c>
      <c r="G20" s="111">
        <v>0.1</v>
      </c>
      <c r="H20" s="111">
        <v>0.1</v>
      </c>
      <c r="I20" s="111">
        <v>0.1</v>
      </c>
      <c r="J20" s="111">
        <v>0.1</v>
      </c>
      <c r="K20" s="111">
        <v>0.1</v>
      </c>
      <c r="L20" s="111">
        <v>0.1</v>
      </c>
      <c r="M20" s="111">
        <v>0.1</v>
      </c>
      <c r="N20" s="111">
        <v>0.1</v>
      </c>
      <c r="O20" s="111">
        <v>0.1</v>
      </c>
      <c r="P20" s="8"/>
    </row>
    <row r="21" spans="1:16" s="7" customFormat="1" x14ac:dyDescent="0.2">
      <c r="A21" s="19"/>
      <c r="B21" s="20"/>
      <c r="C21" s="20"/>
      <c r="D21" s="20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8"/>
    </row>
    <row r="22" spans="1:16" s="4" customFormat="1" x14ac:dyDescent="0.2">
      <c r="A22" s="19"/>
      <c r="B22" s="20"/>
      <c r="C22" s="20"/>
      <c r="D22" s="20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/>
    </row>
    <row r="23" spans="1:16" s="4" customFormat="1" x14ac:dyDescent="0.2">
      <c r="A23" s="19"/>
      <c r="B23" s="20"/>
      <c r="C23" s="20"/>
      <c r="D23" s="20"/>
      <c r="E23" s="21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/>
    </row>
    <row r="24" spans="1:16" s="4" customFormat="1" x14ac:dyDescent="0.2">
      <c r="A24" s="19"/>
      <c r="B24" s="20"/>
      <c r="C24" s="20"/>
      <c r="D24" s="20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/>
    </row>
    <row r="25" spans="1:16" s="4" customFormat="1" x14ac:dyDescent="0.2">
      <c r="A25" s="19"/>
      <c r="B25" s="20"/>
      <c r="C25" s="20"/>
      <c r="D25" s="20"/>
      <c r="E25" s="2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/>
    </row>
    <row r="26" spans="1:16" s="4" customFormat="1" x14ac:dyDescent="0.2">
      <c r="A26" s="19"/>
      <c r="B26" s="20"/>
      <c r="C26" s="20"/>
      <c r="D26" s="20"/>
      <c r="E26" s="2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/>
    </row>
    <row r="27" spans="1:16" s="4" customFormat="1" x14ac:dyDescent="0.2">
      <c r="A27" s="19"/>
      <c r="B27" s="20"/>
      <c r="C27" s="20"/>
      <c r="D27" s="20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/>
    </row>
    <row r="28" spans="1:16" s="4" customFormat="1" x14ac:dyDescent="0.2">
      <c r="A28" s="19"/>
      <c r="B28" s="20"/>
      <c r="C28" s="20"/>
      <c r="D28" s="20"/>
      <c r="E28" s="2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/>
    </row>
    <row r="29" spans="1:16" s="4" customFormat="1" x14ac:dyDescent="0.2">
      <c r="A29" s="19"/>
      <c r="B29" s="20"/>
      <c r="C29" s="20"/>
      <c r="D29" s="20"/>
      <c r="E29" s="2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/>
    </row>
    <row r="30" spans="1:16" s="4" customFormat="1" x14ac:dyDescent="0.2">
      <c r="A30" s="19"/>
      <c r="B30" s="20"/>
      <c r="C30" s="20"/>
      <c r="D30" s="20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/>
    </row>
    <row r="31" spans="1:16" s="4" customFormat="1" x14ac:dyDescent="0.2">
      <c r="A31" s="19"/>
      <c r="B31" s="20"/>
      <c r="C31" s="20"/>
      <c r="D31" s="20"/>
      <c r="E31" s="2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/>
    </row>
    <row r="32" spans="1:16" s="4" customFormat="1" x14ac:dyDescent="0.2">
      <c r="A32" s="19"/>
      <c r="B32" s="20"/>
      <c r="C32" s="20"/>
      <c r="D32" s="20"/>
      <c r="E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/>
    </row>
    <row r="33" spans="1:16" s="4" customFormat="1" x14ac:dyDescent="0.2">
      <c r="A33" s="19"/>
      <c r="B33" s="20"/>
      <c r="C33" s="20"/>
      <c r="D33" s="20"/>
      <c r="E33" s="2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/>
    </row>
    <row r="34" spans="1:16" s="4" customFormat="1" x14ac:dyDescent="0.2">
      <c r="A34" s="19"/>
      <c r="B34" s="20"/>
      <c r="C34" s="20"/>
      <c r="D34" s="20"/>
      <c r="E34" s="2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6"/>
    </row>
    <row r="35" spans="1:16" s="4" customFormat="1" x14ac:dyDescent="0.2">
      <c r="A35" s="19"/>
      <c r="B35" s="20"/>
      <c r="C35" s="20"/>
      <c r="D35" s="20"/>
      <c r="E35" s="2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6"/>
    </row>
    <row r="36" spans="1:16" s="4" customFormat="1" x14ac:dyDescent="0.2">
      <c r="A36" s="19"/>
      <c r="B36" s="20"/>
      <c r="C36" s="20"/>
      <c r="D36" s="20"/>
      <c r="E36" s="2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6"/>
    </row>
    <row r="37" spans="1:16" s="4" customFormat="1" x14ac:dyDescent="0.2">
      <c r="A37" s="19"/>
      <c r="B37" s="20"/>
      <c r="C37" s="20"/>
      <c r="D37" s="20"/>
      <c r="E37" s="2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6"/>
    </row>
    <row r="38" spans="1:16" s="4" customFormat="1" x14ac:dyDescent="0.2">
      <c r="A38" s="19"/>
      <c r="B38" s="20"/>
      <c r="C38" s="20"/>
      <c r="D38" s="20"/>
      <c r="E38" s="2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6"/>
    </row>
    <row r="39" spans="1:16" s="4" customFormat="1" x14ac:dyDescent="0.2">
      <c r="A39" s="19"/>
      <c r="B39" s="20"/>
      <c r="C39" s="20"/>
      <c r="D39" s="20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6"/>
    </row>
    <row r="40" spans="1:16" s="4" customFormat="1" x14ac:dyDescent="0.2">
      <c r="A40" s="25"/>
      <c r="B40" s="26"/>
      <c r="C40" s="26"/>
      <c r="D40" s="26"/>
      <c r="E40" s="5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6"/>
    </row>
    <row r="41" spans="1:16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6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6" x14ac:dyDescent="0.2">
      <c r="A44" s="13" t="s">
        <v>20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"/>
    </row>
    <row r="45" spans="1:16" x14ac:dyDescent="0.2">
      <c r="A45" s="11"/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"/>
    </row>
    <row r="46" spans="1:16" x14ac:dyDescent="0.2">
      <c r="A46" s="11" t="s">
        <v>2</v>
      </c>
      <c r="B46" s="11"/>
      <c r="C46" s="11"/>
      <c r="D46" s="11"/>
      <c r="E46" s="29"/>
      <c r="F46" s="29">
        <v>1</v>
      </c>
      <c r="G46" s="29">
        <v>2</v>
      </c>
      <c r="H46" s="29">
        <v>3</v>
      </c>
      <c r="I46" s="29">
        <v>4</v>
      </c>
      <c r="J46" s="29">
        <v>5</v>
      </c>
      <c r="K46" s="29">
        <v>6</v>
      </c>
      <c r="L46" s="29">
        <v>7</v>
      </c>
      <c r="M46" s="29">
        <f>(M15-L15)/365+L46</f>
        <v>8.00068493150685</v>
      </c>
      <c r="N46" s="29">
        <f>(N15-M15)/365+M46</f>
        <v>9.0013698630137</v>
      </c>
      <c r="O46" s="29">
        <f>(O15-N15)/365+N46</f>
        <v>10.00205479452055</v>
      </c>
      <c r="P46" s="1"/>
    </row>
    <row r="47" spans="1:16" x14ac:dyDescent="0.2">
      <c r="A47" s="30" t="s">
        <v>22</v>
      </c>
      <c r="B47" s="30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"/>
    </row>
    <row r="48" spans="1:16" x14ac:dyDescent="0.2">
      <c r="A48" s="17">
        <f>$B$7-$B$8</f>
        <v>6.5000000000000002E-2</v>
      </c>
      <c r="B48" s="11"/>
      <c r="C48" s="11"/>
      <c r="D48" s="11"/>
      <c r="E48" s="29"/>
      <c r="F48" s="29">
        <f t="shared" ref="F48:O50" si="3">F$19/(1+$A48)^F$46</f>
        <v>27.621971830985913</v>
      </c>
      <c r="G48" s="29">
        <f t="shared" si="3"/>
        <v>14.697136811479202</v>
      </c>
      <c r="H48" s="29">
        <f t="shared" si="3"/>
        <v>22.080205538372514</v>
      </c>
      <c r="I48" s="29">
        <f t="shared" si="3"/>
        <v>31.098881039961288</v>
      </c>
      <c r="J48" s="29">
        <f t="shared" si="3"/>
        <v>39.421116811218539</v>
      </c>
      <c r="K48" s="29">
        <f t="shared" si="3"/>
        <v>44.418159787288509</v>
      </c>
      <c r="L48" s="29">
        <f t="shared" si="3"/>
        <v>47.963271131813883</v>
      </c>
      <c r="M48" s="29">
        <f t="shared" si="3"/>
        <v>50.663241925686691</v>
      </c>
      <c r="N48" s="29">
        <f t="shared" si="3"/>
        <v>52.32597404984741</v>
      </c>
      <c r="O48" s="29">
        <f t="shared" si="3"/>
        <v>52.569368354084531</v>
      </c>
      <c r="P48" s="1"/>
    </row>
    <row r="49" spans="1:16" x14ac:dyDescent="0.2">
      <c r="A49" s="17">
        <f>$B$7</f>
        <v>7.0000000000000007E-2</v>
      </c>
      <c r="B49" s="11"/>
      <c r="C49" s="11"/>
      <c r="D49" s="11"/>
      <c r="E49" s="29"/>
      <c r="F49" s="29">
        <f t="shared" si="3"/>
        <v>27.492897196261676</v>
      </c>
      <c r="G49" s="29">
        <f t="shared" si="3"/>
        <v>14.560101318892476</v>
      </c>
      <c r="H49" s="29">
        <f t="shared" si="3"/>
        <v>21.772114121708373</v>
      </c>
      <c r="I49" s="29">
        <f t="shared" si="3"/>
        <v>30.521655310806135</v>
      </c>
      <c r="J49" s="29">
        <f t="shared" si="3"/>
        <v>38.508630532325498</v>
      </c>
      <c r="K49" s="29">
        <f t="shared" si="3"/>
        <v>43.187249195131407</v>
      </c>
      <c r="L49" s="29">
        <f t="shared" si="3"/>
        <v>46.416202405982339</v>
      </c>
      <c r="M49" s="29">
        <f t="shared" si="3"/>
        <v>48.799820457671906</v>
      </c>
      <c r="N49" s="29">
        <f t="shared" si="3"/>
        <v>50.165714912486258</v>
      </c>
      <c r="O49" s="29">
        <f t="shared" si="3"/>
        <v>50.163390209865035</v>
      </c>
      <c r="P49" s="1"/>
    </row>
    <row r="50" spans="1:16" x14ac:dyDescent="0.2">
      <c r="A50" s="17">
        <f>$B$7+$B$8</f>
        <v>7.5000000000000011E-2</v>
      </c>
      <c r="B50" s="11"/>
      <c r="C50" s="11"/>
      <c r="D50" s="11"/>
      <c r="E50" s="29"/>
      <c r="F50" s="29">
        <f t="shared" si="3"/>
        <v>27.365023255813952</v>
      </c>
      <c r="G50" s="29">
        <f t="shared" si="3"/>
        <v>14.424973499188749</v>
      </c>
      <c r="H50" s="29">
        <f t="shared" si="3"/>
        <v>21.469727998792557</v>
      </c>
      <c r="I50" s="29">
        <f t="shared" si="3"/>
        <v>29.957759998315193</v>
      </c>
      <c r="J50" s="29">
        <f t="shared" si="3"/>
        <v>37.621373021140016</v>
      </c>
      <c r="K50" s="29">
        <f t="shared" si="3"/>
        <v>41.995951279412118</v>
      </c>
      <c r="L50" s="29">
        <f t="shared" si="3"/>
        <v>44.925901368673422</v>
      </c>
      <c r="M50" s="29">
        <f t="shared" si="3"/>
        <v>47.013149336605082</v>
      </c>
      <c r="N50" s="29">
        <f t="shared" si="3"/>
        <v>48.104095510001578</v>
      </c>
      <c r="O50" s="29">
        <f t="shared" si="3"/>
        <v>47.87798385059267</v>
      </c>
      <c r="P50" s="1"/>
    </row>
    <row r="51" spans="1:16" x14ac:dyDescent="0.2">
      <c r="A51" s="11"/>
      <c r="B51" s="11"/>
      <c r="C51" s="11"/>
      <c r="D51" s="11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"/>
    </row>
    <row r="52" spans="1:16" x14ac:dyDescent="0.2">
      <c r="A52" s="11" t="s">
        <v>7</v>
      </c>
      <c r="B52" s="11"/>
      <c r="C52" s="11"/>
      <c r="D52" s="11"/>
      <c r="E52" s="11"/>
      <c r="F52" s="32"/>
      <c r="G52" s="11"/>
      <c r="H52" s="11"/>
      <c r="I52" s="11"/>
      <c r="J52" s="11"/>
      <c r="K52" s="11"/>
      <c r="L52" s="11"/>
      <c r="M52" s="11"/>
      <c r="N52" s="11"/>
      <c r="O52" s="11"/>
    </row>
    <row r="53" spans="1:16" x14ac:dyDescent="0.2">
      <c r="A53" s="33">
        <f>$B$7-$B$8</f>
        <v>6.5000000000000002E-2</v>
      </c>
      <c r="B53" s="34"/>
      <c r="C53" s="34"/>
      <c r="D53" s="34"/>
      <c r="E53" s="35">
        <f>SUM(F48:O48)</f>
        <v>382.85932728073846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6" x14ac:dyDescent="0.2">
      <c r="A54" s="33">
        <f>$B$7</f>
        <v>7.0000000000000007E-2</v>
      </c>
      <c r="B54" s="34"/>
      <c r="C54" s="34"/>
      <c r="D54" s="34"/>
      <c r="E54" s="35">
        <f>SUM(F49:O49)</f>
        <v>371.5877756611311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6" x14ac:dyDescent="0.2">
      <c r="A55" s="33">
        <f>$B$7+$B$8</f>
        <v>7.5000000000000011E-2</v>
      </c>
      <c r="B55" s="34"/>
      <c r="C55" s="34"/>
      <c r="D55" s="34"/>
      <c r="E55" s="35">
        <f>SUM(F50:O50)</f>
        <v>360.75593911853531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6" x14ac:dyDescent="0.2">
      <c r="A57" s="13" t="s">
        <v>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6" x14ac:dyDescent="0.2">
      <c r="A59" s="11"/>
      <c r="B59" s="36"/>
      <c r="C59" s="32"/>
      <c r="D59" s="32"/>
      <c r="E59" s="30" t="s">
        <v>10</v>
      </c>
      <c r="F59" s="30"/>
      <c r="G59" s="30"/>
      <c r="H59" s="30"/>
      <c r="I59" s="30"/>
      <c r="J59" s="11"/>
      <c r="K59" s="30" t="s">
        <v>11</v>
      </c>
      <c r="L59" s="30"/>
      <c r="M59" s="30"/>
      <c r="N59" s="30"/>
      <c r="O59" s="30"/>
    </row>
    <row r="60" spans="1:16" x14ac:dyDescent="0.2">
      <c r="A60" s="11" t="s">
        <v>9</v>
      </c>
      <c r="B60" s="36">
        <f>O19</f>
        <v>98.692700899122002</v>
      </c>
      <c r="C60" s="32"/>
      <c r="D60" s="32"/>
      <c r="E60" s="11"/>
      <c r="F60" s="11"/>
      <c r="G60" s="37" t="s">
        <v>14</v>
      </c>
      <c r="H60" s="38"/>
      <c r="I60" s="38"/>
      <c r="J60" s="11"/>
      <c r="K60" s="11"/>
      <c r="L60" s="11"/>
      <c r="M60" s="37" t="s">
        <v>14</v>
      </c>
      <c r="N60" s="38"/>
      <c r="O60" s="38"/>
    </row>
    <row r="61" spans="1:16" x14ac:dyDescent="0.2">
      <c r="A61" s="11" t="s">
        <v>12</v>
      </c>
      <c r="B61" s="36">
        <f>O46</f>
        <v>10.00205479452055</v>
      </c>
      <c r="C61" s="39"/>
      <c r="D61" s="39"/>
      <c r="E61" s="11"/>
      <c r="F61" s="11"/>
      <c r="G61" s="17">
        <f>$B$64-$B$65</f>
        <v>0.04</v>
      </c>
      <c r="H61" s="17">
        <f>$B$64</f>
        <v>0.05</v>
      </c>
      <c r="I61" s="17">
        <f>$B$64+$B$65</f>
        <v>6.0000000000000005E-2</v>
      </c>
      <c r="J61" s="11"/>
      <c r="K61" s="11"/>
      <c r="L61" s="11"/>
      <c r="M61" s="17">
        <f>$B$64-$B$65</f>
        <v>0.04</v>
      </c>
      <c r="N61" s="17">
        <f>$B$64</f>
        <v>0.05</v>
      </c>
      <c r="O61" s="17">
        <f>$B$64+$B$65</f>
        <v>6.0000000000000005E-2</v>
      </c>
    </row>
    <row r="62" spans="1:16" x14ac:dyDescent="0.2">
      <c r="A62" s="11" t="s">
        <v>0</v>
      </c>
      <c r="B62" s="39">
        <f>B7</f>
        <v>7.0000000000000007E-2</v>
      </c>
      <c r="C62" s="39"/>
      <c r="D62" s="39"/>
      <c r="E62" s="117" t="s">
        <v>0</v>
      </c>
      <c r="F62" s="17">
        <f>$B$7-$B$63</f>
        <v>6.5000000000000002E-2</v>
      </c>
      <c r="G62" s="40">
        <f>($B$60*(1+G$61))/($F62-G$61)</f>
        <v>4105.6163574034754</v>
      </c>
      <c r="H62" s="41">
        <f t="shared" ref="G62:I64" si="4">($B$60*(1+H$61))/($F62-H$61)</f>
        <v>6908.4890629385409</v>
      </c>
      <c r="I62" s="42">
        <f>($B$60*(1+I$61))/($F62-I$61)</f>
        <v>20922.852590613875</v>
      </c>
      <c r="J62" s="11"/>
      <c r="K62" s="117" t="s">
        <v>0</v>
      </c>
      <c r="L62" s="17">
        <f>$B$7-$B$63</f>
        <v>6.5000000000000002E-2</v>
      </c>
      <c r="M62" s="40">
        <f>G62/((1+$L62)^$B$61)</f>
        <v>2186.8857235299165</v>
      </c>
      <c r="N62" s="41">
        <f>H62/((1+$L62)^$B$61)</f>
        <v>3679.8557847859179</v>
      </c>
      <c r="O62" s="42">
        <f>I62/((1+$L62)^$B$61)</f>
        <v>11144.706091065927</v>
      </c>
    </row>
    <row r="63" spans="1:16" x14ac:dyDescent="0.2">
      <c r="A63" s="11" t="s">
        <v>29</v>
      </c>
      <c r="B63" s="39">
        <f>B8</f>
        <v>5.0000000000000001E-3</v>
      </c>
      <c r="C63" s="39"/>
      <c r="D63" s="39"/>
      <c r="E63" s="117"/>
      <c r="F63" s="17">
        <f>$B$7</f>
        <v>7.0000000000000007E-2</v>
      </c>
      <c r="G63" s="43">
        <f t="shared" si="4"/>
        <v>3421.3469645028954</v>
      </c>
      <c r="H63" s="23">
        <f t="shared" si="4"/>
        <v>5181.3667972039048</v>
      </c>
      <c r="I63" s="22">
        <f t="shared" si="4"/>
        <v>10461.42629530693</v>
      </c>
      <c r="J63" s="11"/>
      <c r="K63" s="117"/>
      <c r="L63" s="17">
        <f>$B$7</f>
        <v>7.0000000000000007E-2</v>
      </c>
      <c r="M63" s="43">
        <f t="shared" ref="M63:O64" si="5">G63/((1+$L63)^$B$61)</f>
        <v>1738.9975272753209</v>
      </c>
      <c r="N63" s="23">
        <f t="shared" si="5"/>
        <v>2633.5779860179141</v>
      </c>
      <c r="O63" s="22">
        <f t="shared" si="5"/>
        <v>5317.3193622456929</v>
      </c>
    </row>
    <row r="64" spans="1:16" x14ac:dyDescent="0.2">
      <c r="A64" s="11" t="s">
        <v>14</v>
      </c>
      <c r="B64" s="39">
        <f>B9</f>
        <v>0.05</v>
      </c>
      <c r="C64" s="39"/>
      <c r="D64" s="39"/>
      <c r="E64" s="117"/>
      <c r="F64" s="17">
        <f>$B$7+$B$63</f>
        <v>7.5000000000000011E-2</v>
      </c>
      <c r="G64" s="44">
        <f t="shared" si="4"/>
        <v>2932.583112431053</v>
      </c>
      <c r="H64" s="45">
        <f t="shared" si="4"/>
        <v>4145.0934377631229</v>
      </c>
      <c r="I64" s="46">
        <f t="shared" si="4"/>
        <v>6974.2841968712855</v>
      </c>
      <c r="J64" s="11"/>
      <c r="K64" s="117"/>
      <c r="L64" s="17">
        <f>$B$7+$B$63</f>
        <v>7.5000000000000011E-2</v>
      </c>
      <c r="M64" s="44">
        <f t="shared" si="5"/>
        <v>1422.6600915604677</v>
      </c>
      <c r="N64" s="45">
        <f t="shared" si="5"/>
        <v>2010.8753217248916</v>
      </c>
      <c r="O64" s="46">
        <f t="shared" si="5"/>
        <v>3383.3775254418811</v>
      </c>
    </row>
    <row r="65" spans="1:15" x14ac:dyDescent="0.2">
      <c r="A65" s="11" t="s">
        <v>28</v>
      </c>
      <c r="B65" s="39">
        <f>B10</f>
        <v>0.01</v>
      </c>
      <c r="C65" s="39"/>
      <c r="D65" s="39"/>
      <c r="E65" s="11"/>
      <c r="F65" s="17"/>
      <c r="G65" s="29"/>
      <c r="H65" s="29"/>
      <c r="I65" s="29"/>
      <c r="J65" s="11"/>
      <c r="K65" s="11"/>
      <c r="L65" s="17"/>
      <c r="M65" s="29"/>
      <c r="N65" s="29"/>
      <c r="O65" s="29"/>
    </row>
    <row r="66" spans="1:15" x14ac:dyDescent="0.2">
      <c r="A66" s="11"/>
      <c r="B66" s="39"/>
      <c r="C66" s="39"/>
      <c r="D66" s="39"/>
      <c r="E66" s="97"/>
      <c r="F66" s="97"/>
      <c r="G66" s="97"/>
      <c r="H66" s="97"/>
      <c r="I66" s="97"/>
      <c r="J66" s="11"/>
      <c r="K66" s="11"/>
      <c r="L66" s="17"/>
      <c r="M66" s="29"/>
      <c r="N66" s="29"/>
      <c r="O66" s="29"/>
    </row>
    <row r="67" spans="1:15" x14ac:dyDescent="0.2">
      <c r="A67" s="11"/>
      <c r="B67" s="39"/>
      <c r="C67" s="39"/>
      <c r="D67" s="39"/>
      <c r="E67" s="97"/>
      <c r="F67" s="97"/>
      <c r="G67" s="106"/>
      <c r="H67" s="107"/>
      <c r="I67" s="107"/>
      <c r="J67" s="11"/>
      <c r="K67" s="11"/>
      <c r="L67" s="17"/>
      <c r="M67" s="29"/>
      <c r="N67" s="29"/>
      <c r="O67" s="29"/>
    </row>
    <row r="68" spans="1:15" x14ac:dyDescent="0.2">
      <c r="A68" s="11"/>
      <c r="B68" s="39"/>
      <c r="C68" s="39"/>
      <c r="D68" s="39"/>
      <c r="E68" s="97"/>
      <c r="F68" s="97"/>
      <c r="G68" s="103"/>
      <c r="H68" s="103"/>
      <c r="I68" s="103"/>
      <c r="J68" s="11"/>
      <c r="K68" s="11"/>
      <c r="L68" s="17"/>
      <c r="M68" s="29"/>
      <c r="N68" s="29"/>
      <c r="O68" s="29"/>
    </row>
    <row r="69" spans="1:15" x14ac:dyDescent="0.2">
      <c r="A69" s="11"/>
      <c r="B69" s="39"/>
      <c r="C69" s="39"/>
      <c r="D69" s="39"/>
      <c r="E69" s="113"/>
      <c r="F69" s="108"/>
      <c r="G69" s="109"/>
      <c r="H69" s="109"/>
      <c r="I69" s="109"/>
      <c r="J69" s="47"/>
      <c r="K69" s="47"/>
      <c r="L69" s="47"/>
      <c r="M69" s="29"/>
      <c r="N69" s="29"/>
      <c r="O69" s="29"/>
    </row>
    <row r="70" spans="1:15" x14ac:dyDescent="0.2">
      <c r="A70" s="11"/>
      <c r="B70" s="39"/>
      <c r="C70" s="39"/>
      <c r="D70" s="39"/>
      <c r="E70" s="113"/>
      <c r="F70" s="108"/>
      <c r="G70" s="109"/>
      <c r="H70" s="109"/>
      <c r="I70" s="109"/>
      <c r="J70" s="47"/>
      <c r="K70" s="47"/>
      <c r="L70" s="47"/>
      <c r="M70" s="29"/>
      <c r="N70" s="29"/>
      <c r="O70" s="29"/>
    </row>
    <row r="71" spans="1:15" x14ac:dyDescent="0.2">
      <c r="A71" s="11"/>
      <c r="B71" s="39"/>
      <c r="C71" s="39"/>
      <c r="D71" s="39"/>
      <c r="E71" s="113"/>
      <c r="F71" s="108"/>
      <c r="G71" s="109"/>
      <c r="H71" s="109"/>
      <c r="I71" s="109"/>
      <c r="J71" s="47"/>
      <c r="K71" s="47"/>
      <c r="L71" s="47"/>
      <c r="M71" s="29"/>
      <c r="N71" s="29"/>
      <c r="O71" s="29"/>
    </row>
    <row r="72" spans="1:15" x14ac:dyDescent="0.2">
      <c r="A72" s="11"/>
      <c r="B72" s="39"/>
      <c r="C72" s="39"/>
      <c r="D72" s="39"/>
      <c r="E72" s="62"/>
      <c r="F72" s="17"/>
      <c r="G72" s="48"/>
      <c r="H72" s="48"/>
      <c r="I72" s="48"/>
      <c r="J72" s="47"/>
      <c r="K72" s="47"/>
      <c r="L72" s="47"/>
      <c r="M72" s="29"/>
      <c r="N72" s="29"/>
      <c r="O72" s="29"/>
    </row>
    <row r="73" spans="1:15" x14ac:dyDescent="0.2">
      <c r="A73" s="11"/>
      <c r="B73" s="39"/>
      <c r="C73" s="39"/>
      <c r="D73" s="39"/>
      <c r="E73" s="62"/>
      <c r="F73" s="17"/>
      <c r="G73" s="48"/>
      <c r="H73" s="48"/>
      <c r="I73" s="48"/>
      <c r="J73" s="47"/>
      <c r="K73" s="47"/>
      <c r="L73" s="47"/>
      <c r="M73" s="29"/>
      <c r="N73" s="29"/>
      <c r="O73" s="29"/>
    </row>
    <row r="74" spans="1:15" x14ac:dyDescent="0.2">
      <c r="A74" s="11"/>
      <c r="B74" s="39"/>
      <c r="C74" s="39"/>
      <c r="D74" s="39"/>
      <c r="E74" s="62"/>
      <c r="F74" s="17"/>
      <c r="G74" s="48"/>
      <c r="H74" s="48"/>
      <c r="I74" s="48"/>
      <c r="J74" s="47"/>
      <c r="K74" s="47"/>
      <c r="L74" s="47"/>
      <c r="M74" s="29"/>
      <c r="N74" s="29"/>
      <c r="O74" s="29"/>
    </row>
    <row r="75" spans="1:15" x14ac:dyDescent="0.2">
      <c r="A75" s="11"/>
      <c r="B75" s="39"/>
      <c r="C75" s="39"/>
      <c r="D75" s="39"/>
      <c r="E75" s="62"/>
      <c r="F75" s="17"/>
      <c r="G75" s="48"/>
      <c r="H75" s="48"/>
      <c r="I75" s="48"/>
      <c r="J75" s="47"/>
      <c r="K75" s="47"/>
      <c r="L75" s="47"/>
      <c r="M75" s="29"/>
      <c r="N75" s="29"/>
      <c r="O75" s="29"/>
    </row>
    <row r="76" spans="1:15" x14ac:dyDescent="0.2">
      <c r="A76" s="11"/>
      <c r="B76" s="39"/>
      <c r="C76" s="39"/>
      <c r="D76" s="39"/>
      <c r="E76" s="62"/>
      <c r="F76" s="17"/>
      <c r="G76" s="48"/>
      <c r="H76" s="48"/>
      <c r="I76" s="48"/>
      <c r="J76" s="47"/>
      <c r="K76" s="47"/>
      <c r="L76" s="47"/>
      <c r="M76" s="29"/>
      <c r="N76" s="29"/>
      <c r="O76" s="29"/>
    </row>
    <row r="77" spans="1:15" x14ac:dyDescent="0.2">
      <c r="A77" s="11"/>
      <c r="B77" s="39"/>
      <c r="C77" s="39"/>
      <c r="D77" s="39"/>
      <c r="E77" s="62"/>
      <c r="F77" s="17"/>
      <c r="G77" s="48"/>
      <c r="H77" s="48"/>
      <c r="I77" s="48"/>
      <c r="J77" s="47"/>
      <c r="K77" s="47"/>
      <c r="L77" s="47"/>
      <c r="M77" s="29"/>
      <c r="N77" s="29"/>
      <c r="O77" s="29"/>
    </row>
    <row r="78" spans="1:15" x14ac:dyDescent="0.2">
      <c r="A78" s="11"/>
      <c r="B78" s="39"/>
      <c r="C78" s="39"/>
      <c r="D78" s="39"/>
      <c r="E78" s="62"/>
      <c r="F78" s="17"/>
      <c r="G78" s="48"/>
      <c r="H78" s="48"/>
      <c r="I78" s="48"/>
      <c r="J78" s="47"/>
      <c r="K78" s="47"/>
      <c r="L78" s="47"/>
      <c r="M78" s="29"/>
      <c r="N78" s="29"/>
      <c r="O78" s="29"/>
    </row>
    <row r="79" spans="1:15" x14ac:dyDescent="0.2">
      <c r="A79" s="11"/>
      <c r="B79" s="39"/>
      <c r="C79" s="39"/>
      <c r="D79" s="39"/>
      <c r="E79" s="62"/>
      <c r="F79" s="17"/>
      <c r="G79" s="48"/>
      <c r="H79" s="48"/>
      <c r="I79" s="48"/>
      <c r="J79" s="47"/>
      <c r="K79" s="47"/>
      <c r="L79" s="47"/>
      <c r="M79" s="29"/>
      <c r="N79" s="29"/>
      <c r="O79" s="29"/>
    </row>
    <row r="80" spans="1:15" x14ac:dyDescent="0.2">
      <c r="A80" s="11"/>
      <c r="B80" s="39"/>
      <c r="C80" s="39"/>
      <c r="D80" s="39"/>
      <c r="E80" s="62"/>
      <c r="F80" s="17"/>
      <c r="G80" s="48"/>
      <c r="H80" s="48"/>
      <c r="I80" s="48"/>
      <c r="J80" s="47"/>
      <c r="K80" s="47"/>
      <c r="L80" s="47"/>
      <c r="M80" s="29"/>
      <c r="N80" s="29"/>
      <c r="O80" s="29"/>
    </row>
    <row r="81" spans="1:15" x14ac:dyDescent="0.2">
      <c r="A81" s="11"/>
      <c r="B81" s="39"/>
      <c r="C81" s="39"/>
      <c r="D81" s="39"/>
      <c r="E81" s="62"/>
      <c r="F81" s="17"/>
      <c r="G81" s="48"/>
      <c r="H81" s="48"/>
      <c r="I81" s="48"/>
      <c r="J81" s="47"/>
      <c r="K81" s="47"/>
      <c r="L81" s="47"/>
      <c r="M81" s="29"/>
      <c r="N81" s="29"/>
      <c r="O81" s="29"/>
    </row>
    <row r="82" spans="1:15" x14ac:dyDescent="0.2">
      <c r="A82" s="11"/>
      <c r="B82" s="39"/>
      <c r="C82" s="39"/>
      <c r="D82" s="39"/>
      <c r="E82" s="62"/>
      <c r="F82" s="17"/>
      <c r="G82" s="48"/>
      <c r="H82" s="48"/>
      <c r="I82" s="48"/>
      <c r="J82" s="47"/>
      <c r="K82" s="47"/>
      <c r="L82" s="47"/>
      <c r="M82" s="29"/>
      <c r="N82" s="29"/>
      <c r="O82" s="29"/>
    </row>
    <row r="83" spans="1:15" x14ac:dyDescent="0.2">
      <c r="A83" s="11"/>
      <c r="B83" s="39"/>
      <c r="C83" s="39"/>
      <c r="D83" s="39"/>
      <c r="E83" s="62"/>
      <c r="F83" s="17"/>
      <c r="G83" s="48"/>
      <c r="H83" s="48"/>
      <c r="I83" s="48"/>
      <c r="J83" s="47"/>
      <c r="K83" s="47"/>
      <c r="L83" s="47"/>
      <c r="M83" s="29"/>
      <c r="N83" s="29"/>
      <c r="O83" s="29"/>
    </row>
    <row r="84" spans="1:15" x14ac:dyDescent="0.2">
      <c r="A84" s="11"/>
      <c r="B84" s="39"/>
      <c r="C84" s="39"/>
      <c r="D84" s="39"/>
      <c r="E84" s="62"/>
      <c r="F84" s="17"/>
      <c r="G84" s="48"/>
      <c r="H84" s="48"/>
      <c r="I84" s="48"/>
      <c r="J84" s="47"/>
      <c r="K84" s="47"/>
      <c r="L84" s="47"/>
      <c r="M84" s="29"/>
      <c r="N84" s="29"/>
      <c r="O84" s="29"/>
    </row>
    <row r="85" spans="1:15" x14ac:dyDescent="0.2">
      <c r="A85" s="11"/>
      <c r="B85" s="39"/>
      <c r="C85" s="39"/>
      <c r="D85" s="39"/>
      <c r="E85" s="62"/>
      <c r="F85" s="17"/>
      <c r="G85" s="48"/>
      <c r="H85" s="48"/>
      <c r="I85" s="48"/>
      <c r="J85" s="47"/>
      <c r="K85" s="47"/>
      <c r="L85" s="47"/>
      <c r="M85" s="29"/>
      <c r="N85" s="29"/>
      <c r="O85" s="29"/>
    </row>
    <row r="86" spans="1:15" x14ac:dyDescent="0.2">
      <c r="A86" s="11"/>
      <c r="B86" s="39"/>
      <c r="C86" s="39"/>
      <c r="D86" s="39"/>
      <c r="E86" s="62"/>
      <c r="F86" s="17"/>
      <c r="G86" s="48"/>
      <c r="H86" s="48"/>
      <c r="I86" s="48"/>
      <c r="J86" s="47"/>
      <c r="K86" s="47"/>
      <c r="L86" s="47"/>
      <c r="M86" s="29"/>
      <c r="N86" s="29"/>
      <c r="O86" s="29"/>
    </row>
    <row r="87" spans="1:15" x14ac:dyDescent="0.2">
      <c r="A87" s="11"/>
      <c r="B87" s="39"/>
      <c r="C87" s="39"/>
      <c r="D87" s="39"/>
      <c r="E87" s="62"/>
      <c r="F87" s="17"/>
      <c r="G87" s="48"/>
      <c r="H87" s="48"/>
      <c r="I87" s="48"/>
      <c r="J87" s="47"/>
      <c r="K87" s="47"/>
      <c r="L87" s="47"/>
      <c r="M87" s="29"/>
      <c r="N87" s="29"/>
      <c r="O87" s="29"/>
    </row>
    <row r="88" spans="1: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s="13" t="s">
        <v>13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9" x14ac:dyDescent="0.35">
      <c r="A91" s="11"/>
      <c r="B91" s="11"/>
      <c r="C91" s="11"/>
      <c r="D91" s="11"/>
      <c r="E91" s="49" t="str">
        <f>"Perpetual Growth Rate = "&amp;TEXT($G$61,"0.00%")</f>
        <v>Perpetual Growth Rate = 4.00%</v>
      </c>
      <c r="F91" s="18"/>
      <c r="G91" s="18"/>
      <c r="H91" s="11"/>
      <c r="I91" s="49" t="str">
        <f>"Perpetual Growth Rate = "&amp;TEXT($H$61,"0.00%")</f>
        <v>Perpetual Growth Rate = 5.00%</v>
      </c>
      <c r="J91" s="18"/>
      <c r="K91" s="18"/>
      <c r="L91" s="11"/>
      <c r="M91" s="49" t="str">
        <f>"Perpetual Growth Rate = "&amp;TEXT($I$61,"0.00%")</f>
        <v>Perpetual Growth Rate = 6.00%</v>
      </c>
      <c r="N91" s="18"/>
      <c r="O91" s="18"/>
    </row>
    <row r="92" spans="1:15" x14ac:dyDescent="0.2">
      <c r="A92" s="11" t="s">
        <v>0</v>
      </c>
      <c r="B92" s="11"/>
      <c r="C92" s="11"/>
      <c r="D92" s="11"/>
      <c r="E92" s="17">
        <f>$B$7-$B$63</f>
        <v>6.5000000000000002E-2</v>
      </c>
      <c r="F92" s="17">
        <f>$B$7</f>
        <v>7.0000000000000007E-2</v>
      </c>
      <c r="G92" s="17">
        <f>$B$7+$B$63</f>
        <v>7.5000000000000011E-2</v>
      </c>
      <c r="H92" s="11"/>
      <c r="I92" s="17">
        <f>$B$7-$B$63</f>
        <v>6.5000000000000002E-2</v>
      </c>
      <c r="J92" s="17">
        <f>$B$7</f>
        <v>7.0000000000000007E-2</v>
      </c>
      <c r="K92" s="17">
        <f>$B$7+$B$63</f>
        <v>7.5000000000000011E-2</v>
      </c>
      <c r="L92" s="11"/>
      <c r="M92" s="17">
        <f>$B$7-$B$63</f>
        <v>6.5000000000000002E-2</v>
      </c>
      <c r="N92" s="17">
        <f>$B$7</f>
        <v>7.0000000000000007E-2</v>
      </c>
      <c r="O92" s="17">
        <f>$B$7+$B$63</f>
        <v>7.5000000000000011E-2</v>
      </c>
    </row>
    <row r="93" spans="1:15" x14ac:dyDescent="0.2">
      <c r="A93" s="30" t="s">
        <v>26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x14ac:dyDescent="0.2">
      <c r="A94" s="11" t="s">
        <v>15</v>
      </c>
      <c r="B94" s="11"/>
      <c r="C94" s="11"/>
      <c r="D94" s="11"/>
      <c r="E94" s="32">
        <f>$E$53</f>
        <v>382.85932728073846</v>
      </c>
      <c r="F94" s="32">
        <f>$E$54</f>
        <v>371.5877756611311</v>
      </c>
      <c r="G94" s="32">
        <f>$E$55</f>
        <v>360.75593911853531</v>
      </c>
      <c r="H94" s="11"/>
      <c r="I94" s="32">
        <f>$E$53</f>
        <v>382.85932728073846</v>
      </c>
      <c r="J94" s="32">
        <f>$E$54</f>
        <v>371.5877756611311</v>
      </c>
      <c r="K94" s="32">
        <f>$E$55</f>
        <v>360.75593911853531</v>
      </c>
      <c r="L94" s="11"/>
      <c r="M94" s="32">
        <f>$E$53</f>
        <v>382.85932728073846</v>
      </c>
      <c r="N94" s="32">
        <f>$E$54</f>
        <v>371.5877756611311</v>
      </c>
      <c r="O94" s="32">
        <f>$E$55</f>
        <v>360.75593911853531</v>
      </c>
    </row>
    <row r="95" spans="1:15" ht="17" thickBot="1" x14ac:dyDescent="0.25">
      <c r="A95" s="11" t="s">
        <v>16</v>
      </c>
      <c r="B95" s="11"/>
      <c r="C95" s="11"/>
      <c r="D95" s="11"/>
      <c r="E95" s="50">
        <f>M62</f>
        <v>2186.8857235299165</v>
      </c>
      <c r="F95" s="50">
        <f>M63</f>
        <v>1738.9975272753209</v>
      </c>
      <c r="G95" s="50">
        <f>M64</f>
        <v>1422.6600915604677</v>
      </c>
      <c r="H95" s="11"/>
      <c r="I95" s="50">
        <f>N62</f>
        <v>3679.8557847859179</v>
      </c>
      <c r="J95" s="50">
        <f>N63</f>
        <v>2633.5779860179141</v>
      </c>
      <c r="K95" s="50">
        <f>N64</f>
        <v>2010.8753217248916</v>
      </c>
      <c r="L95" s="11"/>
      <c r="M95" s="50">
        <f>O62</f>
        <v>11144.706091065927</v>
      </c>
      <c r="N95" s="50">
        <f>O63</f>
        <v>5317.3193622456929</v>
      </c>
      <c r="O95" s="50">
        <f>O64</f>
        <v>3383.3775254418811</v>
      </c>
    </row>
    <row r="96" spans="1:15" ht="17" thickBot="1" x14ac:dyDescent="0.25">
      <c r="A96" s="68" t="s">
        <v>24</v>
      </c>
      <c r="B96" s="69"/>
      <c r="C96" s="69"/>
      <c r="D96" s="69"/>
      <c r="E96" s="70">
        <f>E94+E95</f>
        <v>2569.7450508106549</v>
      </c>
      <c r="F96" s="70">
        <f t="shared" ref="F96:G96" si="6">F94+F95</f>
        <v>2110.5853029364521</v>
      </c>
      <c r="G96" s="70">
        <f t="shared" si="6"/>
        <v>1783.4160306790029</v>
      </c>
      <c r="H96" s="69"/>
      <c r="I96" s="70">
        <f>I94+I95</f>
        <v>4062.7151120666563</v>
      </c>
      <c r="J96" s="70">
        <f t="shared" ref="J96" si="7">J94+J95</f>
        <v>3005.1657616790453</v>
      </c>
      <c r="K96" s="70">
        <f t="shared" ref="K96" si="8">K94+K95</f>
        <v>2371.6312608434268</v>
      </c>
      <c r="L96" s="69"/>
      <c r="M96" s="70">
        <f>M94+M95</f>
        <v>11527.565418346667</v>
      </c>
      <c r="N96" s="70">
        <f t="shared" ref="N96" si="9">N94+N95</f>
        <v>5688.9071379068237</v>
      </c>
      <c r="O96" s="71">
        <f t="shared" ref="O96" si="10">O94+O95</f>
        <v>3744.1334645604165</v>
      </c>
    </row>
    <row r="97" spans="1:16" x14ac:dyDescent="0.2">
      <c r="A97" s="72" t="s">
        <v>32</v>
      </c>
      <c r="B97" s="72"/>
      <c r="C97" s="72"/>
      <c r="D97" s="72"/>
      <c r="E97" s="73">
        <f>E96/$B$108</f>
        <v>37.624378489175037</v>
      </c>
      <c r="F97" s="73">
        <f t="shared" ref="F97:O97" si="11">F96/$B$108</f>
        <v>30.901688183549812</v>
      </c>
      <c r="G97" s="73">
        <f t="shared" si="11"/>
        <v>26.111508501888771</v>
      </c>
      <c r="H97" s="73"/>
      <c r="I97" s="73">
        <f t="shared" si="11"/>
        <v>59.483383778428355</v>
      </c>
      <c r="J97" s="73">
        <f t="shared" si="11"/>
        <v>43.999498706867428</v>
      </c>
      <c r="K97" s="73">
        <f t="shared" si="11"/>
        <v>34.723737347634362</v>
      </c>
      <c r="L97" s="73"/>
      <c r="M97" s="73">
        <f>M96/$B$108</f>
        <v>168.77841022469499</v>
      </c>
      <c r="N97" s="73">
        <f t="shared" si="11"/>
        <v>83.292930276820258</v>
      </c>
      <c r="O97" s="73">
        <f t="shared" si="11"/>
        <v>54.818937987707422</v>
      </c>
    </row>
    <row r="98" spans="1:16" hidden="1" x14ac:dyDescent="0.2">
      <c r="A98" s="30" t="s">
        <v>27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6" hidden="1" x14ac:dyDescent="0.2">
      <c r="A99" s="11" t="s">
        <v>17</v>
      </c>
      <c r="B99" s="11"/>
      <c r="C99" s="11"/>
      <c r="D99" s="11"/>
      <c r="E99" s="51">
        <f>E94/E$96</f>
        <v>0.14898728072653011</v>
      </c>
      <c r="F99" s="51">
        <f t="shared" ref="F99:G100" si="12">F94/F$96</f>
        <v>0.17605911267558907</v>
      </c>
      <c r="G99" s="51">
        <f t="shared" si="12"/>
        <v>0.20228366960522617</v>
      </c>
      <c r="H99" s="51"/>
      <c r="I99" s="51">
        <f>I94/I$96</f>
        <v>9.4237306018236253E-2</v>
      </c>
      <c r="J99" s="51">
        <f t="shared" ref="J99:K99" si="13">J94/J$96</f>
        <v>0.1236496769660778</v>
      </c>
      <c r="K99" s="51">
        <f t="shared" si="13"/>
        <v>0.15211299710657344</v>
      </c>
      <c r="L99" s="51"/>
      <c r="M99" s="51">
        <f>M94/M$96</f>
        <v>3.3212505276387298E-2</v>
      </c>
      <c r="N99" s="51">
        <f t="shared" ref="N99:O99" si="14">N94/N$96</f>
        <v>6.5317954161201702E-2</v>
      </c>
      <c r="O99" s="51">
        <f t="shared" si="14"/>
        <v>9.6352318242183765E-2</v>
      </c>
    </row>
    <row r="100" spans="1:16" hidden="1" x14ac:dyDescent="0.2">
      <c r="A100" s="11" t="s">
        <v>18</v>
      </c>
      <c r="B100" s="11"/>
      <c r="C100" s="11"/>
      <c r="D100" s="11"/>
      <c r="E100" s="51">
        <f>E95/E$96</f>
        <v>0.85101271927346989</v>
      </c>
      <c r="F100" s="51">
        <f t="shared" si="12"/>
        <v>0.82394088732441084</v>
      </c>
      <c r="G100" s="51">
        <f t="shared" si="12"/>
        <v>0.79771633039477385</v>
      </c>
      <c r="H100" s="51"/>
      <c r="I100" s="51">
        <f>I95/I$96</f>
        <v>0.90576269398176379</v>
      </c>
      <c r="J100" s="51">
        <f t="shared" ref="J100:K100" si="15">J95/J$96</f>
        <v>0.87635032303392213</v>
      </c>
      <c r="K100" s="51">
        <f t="shared" si="15"/>
        <v>0.84788700289342656</v>
      </c>
      <c r="L100" s="51"/>
      <c r="M100" s="51">
        <f>M95/M$96</f>
        <v>0.96678749472361258</v>
      </c>
      <c r="N100" s="51">
        <f t="shared" ref="N100:O100" si="16">N95/N$96</f>
        <v>0.93468204583879833</v>
      </c>
      <c r="O100" s="51">
        <f t="shared" si="16"/>
        <v>0.90364768175781618</v>
      </c>
    </row>
    <row r="101" spans="1:16" hidden="1" x14ac:dyDescent="0.2">
      <c r="A101" s="30" t="s">
        <v>19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6" hidden="1" x14ac:dyDescent="0.2">
      <c r="A102" s="11" t="str">
        <f>"Company Value / "&amp;TEXT(E15,"yyyy")&amp;" Revenue"</f>
        <v>Company Value / 2019 Revenue</v>
      </c>
      <c r="B102" s="11"/>
      <c r="C102" s="11"/>
      <c r="D102" s="11"/>
      <c r="E102" s="47">
        <f>E96/$E$16</f>
        <v>46.385289725824094</v>
      </c>
      <c r="F102" s="47">
        <f t="shared" ref="F102:G102" si="17">F96/$E$16</f>
        <v>38.097207634231985</v>
      </c>
      <c r="G102" s="47">
        <f t="shared" si="17"/>
        <v>32.191625102509079</v>
      </c>
      <c r="H102" s="47"/>
      <c r="I102" s="47">
        <f t="shared" ref="I102:K102" si="18">I96/$E$16</f>
        <v>73.334207799037117</v>
      </c>
      <c r="J102" s="47">
        <f t="shared" si="18"/>
        <v>54.244869344387098</v>
      </c>
      <c r="K102" s="47">
        <f t="shared" si="18"/>
        <v>42.80922853507991</v>
      </c>
      <c r="L102" s="47"/>
      <c r="M102" s="47">
        <f t="shared" ref="M102:O102" si="19">M96/$E$16</f>
        <v>208.07879816510228</v>
      </c>
      <c r="N102" s="47">
        <f t="shared" si="19"/>
        <v>102.68785447485241</v>
      </c>
      <c r="O102" s="47">
        <f t="shared" si="19"/>
        <v>67.583636544411846</v>
      </c>
    </row>
    <row r="103" spans="1:16" hidden="1" x14ac:dyDescent="0.2">
      <c r="A103" s="11" t="str">
        <f>"Company Value / "&amp;TEXT(F15,"yyyy")&amp;" Revenue"</f>
        <v>Company Value / 2020 Revenue</v>
      </c>
      <c r="B103" s="11"/>
      <c r="C103" s="11"/>
      <c r="D103" s="11"/>
      <c r="E103" s="47">
        <f>E96/$F$16</f>
        <v>26.206378376171806</v>
      </c>
      <c r="F103" s="47">
        <f t="shared" ref="F103:G103" si="20">F96/$F$16</f>
        <v>21.523846121035021</v>
      </c>
      <c r="G103" s="47">
        <f t="shared" si="20"/>
        <v>18.187358814976882</v>
      </c>
      <c r="H103" s="47"/>
      <c r="I103" s="47">
        <f>I96/$F$16</f>
        <v>41.431755818665039</v>
      </c>
      <c r="J103" s="47">
        <f t="shared" ref="J103:K103" si="21">J96/$F$16</f>
        <v>30.646818838636783</v>
      </c>
      <c r="K103" s="47">
        <f t="shared" si="21"/>
        <v>24.186004822079045</v>
      </c>
      <c r="L103" s="47"/>
      <c r="M103" s="47">
        <f>M96/$F$16</f>
        <v>117.55864303113124</v>
      </c>
      <c r="N103" s="47">
        <f t="shared" ref="N103:O103" si="22">N96/$F$16</f>
        <v>58.015736991442047</v>
      </c>
      <c r="O103" s="47">
        <f t="shared" si="22"/>
        <v>38.182845505317431</v>
      </c>
    </row>
    <row r="104" spans="1:16" hidden="1" x14ac:dyDescent="0.2">
      <c r="A104" s="11" t="str">
        <f>"Company Value / "&amp;TEXT(E15,"yyyy")&amp;" EBITDA"</f>
        <v>Company Value / 2019 EBITDA</v>
      </c>
      <c r="B104" s="11"/>
      <c r="C104" s="11"/>
      <c r="D104" s="11"/>
      <c r="E104" s="47" t="e">
        <f>E96/#REF!</f>
        <v>#REF!</v>
      </c>
      <c r="F104" s="47" t="e">
        <f>F96/#REF!</f>
        <v>#REF!</v>
      </c>
      <c r="G104" s="47" t="e">
        <f>G96/#REF!</f>
        <v>#REF!</v>
      </c>
      <c r="H104" s="47"/>
      <c r="I104" s="47" t="e">
        <f>I96/#REF!</f>
        <v>#REF!</v>
      </c>
      <c r="J104" s="47" t="e">
        <f>J96/#REF!</f>
        <v>#REF!</v>
      </c>
      <c r="K104" s="47" t="e">
        <f>K96/#REF!</f>
        <v>#REF!</v>
      </c>
      <c r="L104" s="47"/>
      <c r="M104" s="47" t="e">
        <f>M96/#REF!</f>
        <v>#REF!</v>
      </c>
      <c r="N104" s="47" t="e">
        <f>N96/#REF!</f>
        <v>#REF!</v>
      </c>
      <c r="O104" s="47" t="e">
        <f>O96/#REF!</f>
        <v>#REF!</v>
      </c>
    </row>
    <row r="105" spans="1:16" hidden="1" x14ac:dyDescent="0.2">
      <c r="A105" s="11" t="str">
        <f>"Company Value / "&amp;TEXT(F15,"yyyy")&amp;" EBITDA"</f>
        <v>Company Value / 2020 EBITDA</v>
      </c>
      <c r="B105" s="11"/>
      <c r="C105" s="11"/>
      <c r="D105" s="11"/>
      <c r="E105" s="47" t="e">
        <f>E96/#REF!</f>
        <v>#REF!</v>
      </c>
      <c r="F105" s="47" t="e">
        <f>F96/#REF!</f>
        <v>#REF!</v>
      </c>
      <c r="G105" s="47" t="e">
        <f>G96/#REF!</f>
        <v>#REF!</v>
      </c>
      <c r="H105" s="47"/>
      <c r="I105" s="47" t="e">
        <f>I96/#REF!</f>
        <v>#REF!</v>
      </c>
      <c r="J105" s="47" t="e">
        <f>J96/#REF!</f>
        <v>#REF!</v>
      </c>
      <c r="K105" s="47" t="e">
        <f>K96/#REF!</f>
        <v>#REF!</v>
      </c>
      <c r="L105" s="47"/>
      <c r="M105" s="47" t="e">
        <f>M96/#REF!</f>
        <v>#REF!</v>
      </c>
      <c r="N105" s="47" t="e">
        <f>N96/#REF!</f>
        <v>#REF!</v>
      </c>
      <c r="O105" s="47" t="e">
        <f>O96/#REF!</f>
        <v>#REF!</v>
      </c>
    </row>
    <row r="106" spans="1:16" s="9" customFormat="1" hidden="1" x14ac:dyDescent="0.2">
      <c r="A106" s="52" t="s">
        <v>25</v>
      </c>
      <c r="B106" s="52"/>
      <c r="C106" s="52"/>
      <c r="D106" s="52"/>
      <c r="E106" s="53">
        <f>G69</f>
        <v>0</v>
      </c>
      <c r="F106" s="53">
        <f>G70</f>
        <v>0</v>
      </c>
      <c r="G106" s="53">
        <f>G71</f>
        <v>0</v>
      </c>
      <c r="H106" s="53"/>
      <c r="I106" s="53">
        <f>H69</f>
        <v>0</v>
      </c>
      <c r="J106" s="53">
        <f>H70</f>
        <v>0</v>
      </c>
      <c r="K106" s="53">
        <f>H71</f>
        <v>0</v>
      </c>
      <c r="L106" s="53"/>
      <c r="M106" s="53">
        <f>I69</f>
        <v>0</v>
      </c>
      <c r="N106" s="53">
        <f>I70</f>
        <v>0</v>
      </c>
      <c r="O106" s="53">
        <f>I71</f>
        <v>0</v>
      </c>
    </row>
    <row r="107" spans="1:16" x14ac:dyDescent="0.2">
      <c r="A107" s="11"/>
      <c r="B107" s="11"/>
      <c r="C107" s="11"/>
      <c r="D107" s="11"/>
      <c r="E107" s="47"/>
      <c r="F107" s="47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6" s="4" customFormat="1" ht="18" x14ac:dyDescent="0.2">
      <c r="A108" s="67" t="s">
        <v>35</v>
      </c>
      <c r="B108" s="110">
        <v>68.3</v>
      </c>
      <c r="C108" s="20"/>
      <c r="D108" s="20"/>
      <c r="E108" s="21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6"/>
    </row>
    <row r="109" spans="1:16" s="4" customFormat="1" ht="18" x14ac:dyDescent="0.2">
      <c r="A109" s="77" t="s">
        <v>41</v>
      </c>
      <c r="B109" s="78">
        <v>14</v>
      </c>
      <c r="C109" s="20"/>
      <c r="D109" s="20"/>
      <c r="E109" s="21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6"/>
    </row>
    <row r="110" spans="1:16" s="4" customFormat="1" ht="18" x14ac:dyDescent="0.2">
      <c r="A110" s="77" t="s">
        <v>34</v>
      </c>
      <c r="B110" s="79">
        <f>(J97-B109)/B109</f>
        <v>2.1428213362048161</v>
      </c>
      <c r="C110" s="20"/>
      <c r="D110" s="92">
        <f>J97</f>
        <v>43.999498706867428</v>
      </c>
      <c r="E110" s="21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"/>
    </row>
    <row r="111" spans="1:16" s="4" customFormat="1" ht="18" x14ac:dyDescent="0.2">
      <c r="A111" s="77" t="s">
        <v>36</v>
      </c>
      <c r="B111" s="79">
        <f>(M97-B109)/B109</f>
        <v>11.055600730335357</v>
      </c>
      <c r="C111" s="20"/>
      <c r="D111" s="92">
        <f>M97</f>
        <v>168.77841022469499</v>
      </c>
      <c r="E111" s="21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6"/>
    </row>
    <row r="112" spans="1:16" ht="18" x14ac:dyDescent="0.2">
      <c r="A112" s="77" t="s">
        <v>38</v>
      </c>
      <c r="B112" s="93">
        <f>(G97-B109)/B109</f>
        <v>0.86510775013491226</v>
      </c>
      <c r="D112" s="95">
        <f>G97</f>
        <v>26.111508501888771</v>
      </c>
    </row>
    <row r="113" spans="4:5" x14ac:dyDescent="0.2">
      <c r="D113" s="94"/>
    </row>
    <row r="115" spans="4:5" x14ac:dyDescent="0.2">
      <c r="E115" s="96"/>
    </row>
  </sheetData>
  <mergeCells count="16">
    <mergeCell ref="E69:E71"/>
    <mergeCell ref="E14:O14"/>
    <mergeCell ref="N3:Q3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E62:E64"/>
    <mergeCell ref="K62:K64"/>
  </mergeCells>
  <phoneticPr fontId="5" type="noConversion"/>
  <pageMargins left="0.75" right="0.75" top="1" bottom="1" header="0.5" footer="0.5"/>
  <pageSetup scale="24" fitToWidth="0" fitToHeight="0" orientation="landscape" horizontalDpi="4294967292" verticalDpi="4294967292" r:id="rId1"/>
  <rowBreaks count="1" manualBreakCount="1">
    <brk id="40" max="16383" man="1"/>
  </row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Firmex</dc:creator>
  <cp:lastModifiedBy>Adnan Bajrami</cp:lastModifiedBy>
  <cp:lastPrinted>2020-06-16T06:27:22Z</cp:lastPrinted>
  <dcterms:created xsi:type="dcterms:W3CDTF">2013-10-08T17:35:44Z</dcterms:created>
  <dcterms:modified xsi:type="dcterms:W3CDTF">2020-08-28T04:15:47Z</dcterms:modified>
</cp:coreProperties>
</file>